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ocuments\СТРИМ-ГАЗ\Дкументы ММА\СтримГаз_20.08.2019\СТРИМГАЗ\Документация для сайта СтримГаз\План реконструкции сайта СтримГаз-09-18\Регуляторы давления\RB4000\"/>
    </mc:Choice>
  </mc:AlternateContent>
  <xr:revisionPtr revIDLastSave="0" documentId="8_{9F3662D9-89B8-42CB-86B3-DEC94198814A}" xr6:coauthVersionLast="45" xr6:coauthVersionMax="45" xr10:uidLastSave="{00000000-0000-0000-0000-000000000000}"/>
  <workbookProtection workbookPassword="DCB7" lockStructure="1"/>
  <bookViews>
    <workbookView xWindow="7185" yWindow="450" windowWidth="17880" windowHeight="15105" xr2:uid="{00000000-000D-0000-FFFF-FFFF00000000}"/>
  </bookViews>
  <sheets>
    <sheet name="TDS" sheetId="10" r:id="rId1"/>
    <sheet name="ICLS" sheetId="7" state="hidden" r:id="rId2"/>
    <sheet name="T Act" sheetId="5" state="hidden" r:id="rId3"/>
    <sheet name="T Springs" sheetId="3" state="hidden" r:id="rId4"/>
    <sheet name="Changes" sheetId="12" state="hidden" r:id="rId5"/>
  </sheets>
  <definedNames>
    <definedName name="cust_spec">TDS!$M$13</definedName>
    <definedName name="Min_diff_o">'T Springs'!$AQ$21</definedName>
    <definedName name="Min_diff_u">'T Springs'!$AQ$29</definedName>
    <definedName name="Pds">TDS!$I$18</definedName>
    <definedName name="Pdso">TDS!$I$30</definedName>
    <definedName name="Pdsu">TDS!$I$32</definedName>
    <definedName name="PmaxOPSO">'T Springs'!$AN$20</definedName>
    <definedName name="Pmaxreg">'T Springs'!$AN$8</definedName>
    <definedName name="PmaxUPSO">'T Springs'!$AN$29</definedName>
    <definedName name="PminOPSO">'T Springs'!$AM$20</definedName>
    <definedName name="Pminreg">'T Springs'!$AM$8</definedName>
    <definedName name="PminUPSO">'T Springs'!$AM$29</definedName>
    <definedName name="ref_spring_tab">'T Act'!$B$9</definedName>
    <definedName name="ref_ssv_spring_tab">'T Act'!$B$15</definedName>
    <definedName name="s_act">TDS!$M$17</definedName>
    <definedName name="s_bgz_ral">TDS!$M$35</definedName>
    <definedName name="s_dvgw">TDS!$M$40</definedName>
    <definedName name="s_flange_rating">TDS!$M$16</definedName>
    <definedName name="s_it_ps1">TDS!$M$39</definedName>
    <definedName name="s_label">TDS!$M$36</definedName>
    <definedName name="s_monitor">TDS!$M$22</definedName>
    <definedName name="s_pos_ssv">TDS!$M$29</definedName>
    <definedName name="s_safety_d">TDS!$M$21</definedName>
    <definedName name="s_sensing">TDS!$M$23</definedName>
    <definedName name="s_sil">TDS!$M$19</definedName>
    <definedName name="s_size">TDS!$M$15</definedName>
    <definedName name="s_spring">TDS!$M$18</definedName>
    <definedName name="s_spring_opso">TDS!$M$30</definedName>
    <definedName name="s_spring_upso">TDS!$M$32</definedName>
    <definedName name="s_ssv_funct">TDS!$M$27</definedName>
    <definedName name="s_ssv_type">TDS!$M$26</definedName>
    <definedName name="s_vent">TDS!$M$24</definedName>
    <definedName name="s_zeug_a">TDS!$M$43</definedName>
    <definedName name="s_zeug_w">TDS!$M$44</definedName>
    <definedName name="_xlnm.Print_Area" localSheetId="0">TDS!$B$1:$L$45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7" l="1"/>
  <c r="R8" i="7"/>
  <c r="R7" i="7"/>
  <c r="K16" i="10" l="1"/>
  <c r="K39" i="10"/>
  <c r="AQ29" i="3"/>
  <c r="K33" i="10" s="1"/>
  <c r="AQ21" i="3"/>
  <c r="K31" i="10" s="1"/>
  <c r="O9" i="7"/>
  <c r="O8" i="7"/>
  <c r="O7" i="7"/>
  <c r="N8" i="7"/>
  <c r="N7" i="7"/>
  <c r="AL29" i="3"/>
  <c r="AL20" i="3"/>
  <c r="AL8" i="3"/>
  <c r="B20" i="5"/>
  <c r="F15" i="5"/>
  <c r="N28" i="10"/>
  <c r="C28" i="10"/>
  <c r="B12" i="5"/>
  <c r="I9" i="5"/>
  <c r="I3" i="5"/>
  <c r="N27" i="10"/>
  <c r="C27" i="10"/>
  <c r="N24" i="10"/>
  <c r="C24" i="10"/>
  <c r="N23" i="10"/>
  <c r="C23" i="10"/>
  <c r="N22" i="10"/>
  <c r="C22" i="10"/>
  <c r="N21" i="10"/>
  <c r="C21" i="10"/>
  <c r="N16" i="10"/>
  <c r="C16" i="10"/>
  <c r="L3" i="7"/>
  <c r="B3" i="7"/>
  <c r="B9" i="5" l="1"/>
  <c r="I4" i="5"/>
  <c r="J3" i="7"/>
  <c r="I3" i="7"/>
  <c r="B15" i="5" l="1"/>
  <c r="I5" i="5"/>
  <c r="K3" i="7"/>
  <c r="AL10" i="3" l="1"/>
  <c r="AL23" i="3"/>
  <c r="N36" i="10"/>
  <c r="N29" i="10"/>
  <c r="R3" i="7"/>
  <c r="C29" i="10"/>
  <c r="AM25" i="3" l="1"/>
  <c r="AN25" i="3"/>
  <c r="AN27" i="3"/>
  <c r="AN24" i="3"/>
  <c r="AN29" i="3" s="1"/>
  <c r="AM26" i="3"/>
  <c r="AM24" i="3"/>
  <c r="AM29" i="3" s="1"/>
  <c r="AN26" i="3"/>
  <c r="AM28" i="3"/>
  <c r="AM27" i="3"/>
  <c r="AN28" i="3"/>
  <c r="AN12" i="3"/>
  <c r="AN14" i="3"/>
  <c r="AM16" i="3"/>
  <c r="AM18" i="3"/>
  <c r="AN11" i="3"/>
  <c r="AM13" i="3"/>
  <c r="AM15" i="3"/>
  <c r="AN16" i="3"/>
  <c r="AN18" i="3"/>
  <c r="AM11" i="3"/>
  <c r="AN13" i="3"/>
  <c r="AN15" i="3"/>
  <c r="AM17" i="3"/>
  <c r="AM19" i="3"/>
  <c r="AM12" i="3"/>
  <c r="AM14" i="3"/>
  <c r="AN17" i="3"/>
  <c r="AN19" i="3"/>
  <c r="K32" i="10" l="1"/>
  <c r="AL17" i="3"/>
  <c r="P13" i="7" s="1"/>
  <c r="AL19" i="3"/>
  <c r="P15" i="7" s="1"/>
  <c r="AL18" i="3"/>
  <c r="P14" i="7" s="1"/>
  <c r="AL15" i="3"/>
  <c r="P11" i="7" s="1"/>
  <c r="AL16" i="3"/>
  <c r="P12" i="7" s="1"/>
  <c r="AL28" i="3"/>
  <c r="Q11" i="7" s="1"/>
  <c r="AL25" i="3"/>
  <c r="Q8" i="7" s="1"/>
  <c r="AL24" i="3"/>
  <c r="AL27" i="3"/>
  <c r="Q10" i="7" s="1"/>
  <c r="AL13" i="3"/>
  <c r="P9" i="7" s="1"/>
  <c r="AL26" i="3"/>
  <c r="Q9" i="7" s="1"/>
  <c r="AL14" i="3"/>
  <c r="P10" i="7" s="1"/>
  <c r="AL12" i="3"/>
  <c r="P8" i="7" s="1"/>
  <c r="AL11" i="3"/>
  <c r="AL2" i="3"/>
  <c r="F7" i="7"/>
  <c r="F8" i="7"/>
  <c r="C36" i="10"/>
  <c r="X3" i="7"/>
  <c r="AM3" i="3" l="1"/>
  <c r="AN5" i="3"/>
  <c r="AN3" i="3"/>
  <c r="AM4" i="3"/>
  <c r="AM7" i="3"/>
  <c r="AN4" i="3"/>
  <c r="AM6" i="3"/>
  <c r="AN6" i="3"/>
  <c r="AM5" i="3"/>
  <c r="AN7" i="3"/>
  <c r="AL6" i="3" l="1"/>
  <c r="AL5" i="3"/>
  <c r="AL4" i="3"/>
  <c r="AL3" i="3"/>
  <c r="G7" i="7" s="1"/>
  <c r="AL7" i="3"/>
  <c r="C3" i="7"/>
  <c r="D3" i="7"/>
  <c r="F3" i="7"/>
  <c r="G3" i="7"/>
  <c r="M3" i="7"/>
  <c r="P3" i="7"/>
  <c r="Q3" i="7"/>
  <c r="H3" i="7"/>
  <c r="S3" i="7"/>
  <c r="T3" i="7"/>
  <c r="U3" i="7"/>
  <c r="V3" i="7"/>
  <c r="W3" i="7"/>
  <c r="N32" i="10"/>
  <c r="C32" i="10"/>
  <c r="C30" i="10"/>
  <c r="J32" i="10"/>
  <c r="J30" i="10"/>
  <c r="AM8" i="3" l="1"/>
  <c r="AN8" i="3"/>
  <c r="K18" i="10" l="1"/>
  <c r="N44" i="10"/>
  <c r="N43" i="10"/>
  <c r="N40" i="10"/>
  <c r="N39" i="10"/>
  <c r="N35" i="10"/>
  <c r="N19" i="10"/>
  <c r="N30" i="10"/>
  <c r="N26" i="10"/>
  <c r="N18" i="10"/>
  <c r="N17" i="10"/>
  <c r="N15" i="10"/>
  <c r="N13" i="10"/>
  <c r="C44" i="10"/>
  <c r="C43" i="10"/>
  <c r="C40" i="10"/>
  <c r="C39" i="10"/>
  <c r="C35" i="10"/>
  <c r="C19" i="10"/>
  <c r="C26" i="10"/>
  <c r="C18" i="10"/>
  <c r="C17" i="10"/>
  <c r="C15" i="10"/>
  <c r="C13" i="10"/>
  <c r="E7" i="10"/>
  <c r="G9" i="7" l="1"/>
  <c r="G10" i="7"/>
  <c r="G11" i="7"/>
  <c r="G8" i="7"/>
  <c r="P7" i="7" l="1"/>
  <c r="Q7" i="7"/>
  <c r="AN20" i="3" l="1"/>
  <c r="AM20" i="3"/>
  <c r="K3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ogez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ogez:</t>
        </r>
        <r>
          <rPr>
            <sz val="9"/>
            <color indexed="81"/>
            <rFont val="Tahoma"/>
            <family val="2"/>
          </rPr>
          <t xml:space="preserve">
based on the simplifed design Jan 2018</t>
        </r>
      </text>
    </comment>
    <comment ref="O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ogez:</t>
        </r>
        <r>
          <rPr>
            <sz val="9"/>
            <color indexed="81"/>
            <rFont val="Tahoma"/>
            <family val="2"/>
          </rPr>
          <t xml:space="preserve">
based on the simplifed design Jan 2018</t>
        </r>
      </text>
    </comment>
  </commentList>
</comments>
</file>

<file path=xl/sharedStrings.xml><?xml version="1.0" encoding="utf-8"?>
<sst xmlns="http://schemas.openxmlformats.org/spreadsheetml/2006/main" count="235" uniqueCount="142">
  <si>
    <t>Customer Specification</t>
  </si>
  <si>
    <t xml:space="preserve">Actuator size                                    </t>
  </si>
  <si>
    <t>SSV model</t>
  </si>
  <si>
    <t>OPSO</t>
  </si>
  <si>
    <t>1</t>
  </si>
  <si>
    <t>2</t>
  </si>
  <si>
    <t>3</t>
  </si>
  <si>
    <t>4</t>
  </si>
  <si>
    <t xml:space="preserve">Coating            </t>
  </si>
  <si>
    <t xml:space="preserve">Finish coating RAL 7035                      </t>
  </si>
  <si>
    <t>Material certificate</t>
  </si>
  <si>
    <t>EN10204 type 2.2</t>
  </si>
  <si>
    <t>EN10204 type 3.1</t>
  </si>
  <si>
    <t xml:space="preserve">s_dvgw  </t>
  </si>
  <si>
    <t>UPSO</t>
  </si>
  <si>
    <t xml:space="preserve">s_zeug_w     </t>
  </si>
  <si>
    <t xml:space="preserve">s_zeug_a     </t>
  </si>
  <si>
    <t xml:space="preserve">s_bgz_ral    </t>
  </si>
  <si>
    <t>red</t>
  </si>
  <si>
    <t>green</t>
  </si>
  <si>
    <t>Body size</t>
  </si>
  <si>
    <t>Inspection certificate</t>
  </si>
  <si>
    <t xml:space="preserve">EN10204 type 3.1 </t>
  </si>
  <si>
    <t>with</t>
  </si>
  <si>
    <t>Product type</t>
  </si>
  <si>
    <t xml:space="preserve">s_it_ps1     </t>
  </si>
  <si>
    <t>Print this form as pdf and email it to your Itron contact at Karlsruhe Customer Service</t>
  </si>
  <si>
    <t>Contact</t>
  </si>
  <si>
    <t>pls  indicate a contact name</t>
  </si>
  <si>
    <t>Date</t>
  </si>
  <si>
    <t>Order ref</t>
  </si>
  <si>
    <t xml:space="preserve"> </t>
  </si>
  <si>
    <t>pls  indicate here the order reference of the regulator</t>
  </si>
  <si>
    <t>DVGW N° on name plate</t>
  </si>
  <si>
    <t>cust_spec</t>
  </si>
  <si>
    <t>s_ssv_type</t>
  </si>
  <si>
    <t>Without</t>
  </si>
  <si>
    <t>Selection</t>
  </si>
  <si>
    <t>mbar</t>
  </si>
  <si>
    <t>without finish coating (std)</t>
  </si>
  <si>
    <t>without (std)</t>
  </si>
  <si>
    <t>Marking</t>
  </si>
  <si>
    <t>Documents</t>
  </si>
  <si>
    <t>PS (bar)</t>
  </si>
  <si>
    <t>Conditional list</t>
  </si>
  <si>
    <t>Pds =</t>
  </si>
  <si>
    <t>Pdso =</t>
  </si>
  <si>
    <t>Pdsu =</t>
  </si>
  <si>
    <t>Pminreg</t>
  </si>
  <si>
    <t>Pmaxreg</t>
  </si>
  <si>
    <t>Epoxy</t>
  </si>
  <si>
    <t>PminOPSO</t>
  </si>
  <si>
    <t>PmaxOPSO</t>
  </si>
  <si>
    <t>variable</t>
  </si>
  <si>
    <t>Change description</t>
  </si>
  <si>
    <t>Initial release</t>
  </si>
  <si>
    <t>Product data</t>
  </si>
  <si>
    <t xml:space="preserve">Spring range - UPSO </t>
  </si>
  <si>
    <t xml:space="preserve">Spring range - OPSO </t>
  </si>
  <si>
    <t xml:space="preserve">Spring range - Regulator </t>
  </si>
  <si>
    <t>Labels</t>
  </si>
  <si>
    <t>separate</t>
  </si>
  <si>
    <t>affixed (std)</t>
  </si>
  <si>
    <t>Actuator size</t>
  </si>
  <si>
    <t>Silencer</t>
  </si>
  <si>
    <t>orange</t>
  </si>
  <si>
    <t>Spring table selection</t>
  </si>
  <si>
    <t>yellow</t>
  </si>
  <si>
    <t>reg</t>
  </si>
  <si>
    <t>w/o</t>
  </si>
  <si>
    <t>SSV position indicator</t>
  </si>
  <si>
    <t>none (standard)</t>
  </si>
  <si>
    <t>Min_diff_o</t>
  </si>
  <si>
    <t>Min_diff_u</t>
  </si>
  <si>
    <t>Regulator RB 4000 - Build Specification Form</t>
  </si>
  <si>
    <t>RB 4000</t>
  </si>
  <si>
    <t>Flanged DN 25</t>
  </si>
  <si>
    <t>Flanged DN 40</t>
  </si>
  <si>
    <t>Flanged DN 50</t>
  </si>
  <si>
    <t>Flanged DN 80</t>
  </si>
  <si>
    <t>Flanged DN 100</t>
  </si>
  <si>
    <t>Flanged DN 50x80</t>
  </si>
  <si>
    <t>PN 16</t>
  </si>
  <si>
    <t>PN 25</t>
  </si>
  <si>
    <t>Class 150</t>
  </si>
  <si>
    <t>SSV function</t>
  </si>
  <si>
    <t>8500</t>
  </si>
  <si>
    <t>8600</t>
  </si>
  <si>
    <t>SSV actuator size</t>
  </si>
  <si>
    <t>Safety diaphragm</t>
  </si>
  <si>
    <t>Monitor version</t>
  </si>
  <si>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</rPr>
      <t>360</t>
    </r>
  </si>
  <si>
    <r>
      <rPr>
        <sz val="11"/>
        <color theme="1"/>
        <rFont val="Arial"/>
        <family val="2"/>
      </rPr>
      <t>Ø</t>
    </r>
    <r>
      <rPr>
        <sz val="11"/>
        <color theme="1"/>
        <rFont val="Calibri"/>
        <family val="2"/>
      </rPr>
      <t>480</t>
    </r>
  </si>
  <si>
    <t>Ø360</t>
  </si>
  <si>
    <t>Ø480</t>
  </si>
  <si>
    <t>5</t>
  </si>
  <si>
    <t>table 1</t>
  </si>
  <si>
    <t>Table 2</t>
  </si>
  <si>
    <t>Table 3</t>
  </si>
  <si>
    <t>Table 4</t>
  </si>
  <si>
    <t>grey</t>
  </si>
  <si>
    <t>Ø150</t>
  </si>
  <si>
    <t>Ø90</t>
  </si>
  <si>
    <t>Ø90/TR</t>
  </si>
  <si>
    <t>SSV Spring table selection</t>
  </si>
  <si>
    <t>6</t>
  </si>
  <si>
    <t>7</t>
  </si>
  <si>
    <t>Table 2 (8500, 150)</t>
  </si>
  <si>
    <t>Table 3 (8500, 90)</t>
  </si>
  <si>
    <t>Table 4 (8500, 90/TR)</t>
  </si>
  <si>
    <t>Table 5 (8600, 150)</t>
  </si>
  <si>
    <t>Table 6 (8600, 90)</t>
  </si>
  <si>
    <t>Table 7 (8600, 90/TR)</t>
  </si>
  <si>
    <t>GrDF (France)</t>
  </si>
  <si>
    <t>Big Wave (USA)</t>
  </si>
  <si>
    <t>Flange rating</t>
  </si>
  <si>
    <t xml:space="preserve">s_typ    </t>
  </si>
  <si>
    <t xml:space="preserve">s_size    </t>
  </si>
  <si>
    <t>s_act</t>
  </si>
  <si>
    <t>s_spring</t>
  </si>
  <si>
    <t>s_ssv_funct</t>
  </si>
  <si>
    <t>s_act_ssv</t>
  </si>
  <si>
    <t xml:space="preserve">s_spring_opso   </t>
  </si>
  <si>
    <t>s_spring_upso</t>
  </si>
  <si>
    <t xml:space="preserve">s_sil </t>
  </si>
  <si>
    <t>s_pos_ssv</t>
  </si>
  <si>
    <t>Sensing line valve</t>
  </si>
  <si>
    <t>without</t>
  </si>
  <si>
    <t>anti-pumping</t>
  </si>
  <si>
    <t>s_safety_d</t>
  </si>
  <si>
    <t>s_monitor</t>
  </si>
  <si>
    <t>s_sensing</t>
  </si>
  <si>
    <t>standard</t>
  </si>
  <si>
    <t>Vent</t>
  </si>
  <si>
    <t>threaded tap</t>
  </si>
  <si>
    <t>anti-pumping valve</t>
  </si>
  <si>
    <t>s_vent</t>
  </si>
  <si>
    <t>s_label</t>
  </si>
  <si>
    <t>PminUPSO</t>
  </si>
  <si>
    <t>PmaxUPSO</t>
  </si>
  <si>
    <t>8500 Heavy Duty</t>
  </si>
  <si>
    <t>s_flange_rating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</si>
</sst>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Border="1"/>
    <xf numFmtId="49" fontId="0" fillId="2" borderId="0" xfId="0" applyNumberFormat="1" applyFont="1" applyFill="1"/>
    <xf numFmtId="49" fontId="0" fillId="2" borderId="0" xfId="0" applyNumberFormat="1" applyFill="1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top" wrapText="1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4" fontId="0" fillId="2" borderId="0" xfId="0" applyNumberForma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indent="2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top" wrapText="1"/>
    </xf>
    <xf numFmtId="0" fontId="2" fillId="3" borderId="0" xfId="0" applyFont="1" applyFill="1"/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11" fillId="5" borderId="0" xfId="0" applyFont="1" applyFill="1" applyAlignment="1" applyProtection="1">
      <alignment horizontal="center" vertical="center"/>
    </xf>
    <xf numFmtId="0" fontId="3" fillId="7" borderId="0" xfId="0" applyFont="1" applyFill="1" applyAlignment="1">
      <alignment vertical="top" wrapText="1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14" fontId="0" fillId="0" borderId="0" xfId="0" applyNumberFormat="1"/>
    <xf numFmtId="0" fontId="3" fillId="8" borderId="0" xfId="0" applyFont="1" applyFill="1" applyAlignment="1">
      <alignment horizontal="center" vertical="top" wrapText="1"/>
    </xf>
    <xf numFmtId="0" fontId="5" fillId="8" borderId="0" xfId="0" applyFont="1" applyFill="1" applyAlignment="1">
      <alignment vertical="top" wrapText="1"/>
    </xf>
    <xf numFmtId="0" fontId="3" fillId="8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6" borderId="0" xfId="0" applyFill="1" applyAlignment="1">
      <alignment horizontal="center" vertical="top" wrapText="1"/>
    </xf>
    <xf numFmtId="49" fontId="0" fillId="4" borderId="0" xfId="0" applyNumberFormat="1" applyFill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top" wrapText="1"/>
    </xf>
    <xf numFmtId="49" fontId="0" fillId="2" borderId="0" xfId="0" applyNumberFormat="1" applyFont="1" applyFill="1" applyAlignment="1">
      <alignment horizontal="center" vertical="top" wrapText="1"/>
    </xf>
    <xf numFmtId="49" fontId="13" fillId="4" borderId="0" xfId="0" applyNumberFormat="1" applyFont="1" applyFill="1" applyAlignment="1">
      <alignment horizontal="center"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ill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9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11" fillId="5" borderId="0" xfId="0" applyFont="1" applyFill="1" applyAlignment="1" applyProtection="1">
      <alignment horizontal="right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16" fmlaLink="$M$15" fmlaRange="ICLS!$D$7:$D$12" noThreeD="1" sel="1" val="0"/>
</file>

<file path=xl/ctrlProps/ctrlProp10.xml><?xml version="1.0" encoding="utf-8"?>
<formControlPr xmlns="http://schemas.microsoft.com/office/spreadsheetml/2009/9/main" objectType="Drop" dropLines="3" dropStyle="combo" dx="16" fmlaLink="$M$44" fmlaRange="ICLS!$W$7:$W$9" noThreeD="1" sel="1" val="0"/>
</file>

<file path=xl/ctrlProps/ctrlProp11.xml><?xml version="1.0" encoding="utf-8"?>
<formControlPr xmlns="http://schemas.microsoft.com/office/spreadsheetml/2009/9/main" objectType="CheckBox" checked="Checked" fmlaLink="$M$19" lockText="1" noThreeD="1"/>
</file>

<file path=xl/ctrlProps/ctrlProp12.xml><?xml version="1.0" encoding="utf-8"?>
<formControlPr xmlns="http://schemas.microsoft.com/office/spreadsheetml/2009/9/main" objectType="CheckBox" fmlaLink="$M$40" lockText="1" noThreeD="1"/>
</file>

<file path=xl/ctrlProps/ctrlProp13.xml><?xml version="1.0" encoding="utf-8"?>
<formControlPr xmlns="http://schemas.microsoft.com/office/spreadsheetml/2009/9/main" objectType="Drop" dropLines="2" dropStyle="combo" dx="16" fmlaLink="$M$36" fmlaRange="ICLS!$X$7:$X$8" noThreeD="1" sel="1" val="0"/>
</file>

<file path=xl/ctrlProps/ctrlProp14.xml><?xml version="1.0" encoding="utf-8"?>
<formControlPr xmlns="http://schemas.microsoft.com/office/spreadsheetml/2009/9/main" objectType="CheckBox" fmlaLink="$M$21" lockText="1" noThreeD="1"/>
</file>

<file path=xl/ctrlProps/ctrlProp15.xml><?xml version="1.0" encoding="utf-8"?>
<formControlPr xmlns="http://schemas.microsoft.com/office/spreadsheetml/2009/9/main" objectType="Drop" dropLines="3" dropStyle="combo" dx="16" fmlaLink="$M$29" fmlaRange="ICLS!$R$7:$R$9" noThreeD="1" sel="3" val="0"/>
</file>

<file path=xl/ctrlProps/ctrlProp16.xml><?xml version="1.0" encoding="utf-8"?>
<formControlPr xmlns="http://schemas.microsoft.com/office/spreadsheetml/2009/9/main" objectType="CheckBox" fmlaLink="$M$21" lockText="1" noThreeD="1"/>
</file>

<file path=xl/ctrlProps/ctrlProp17.xml><?xml version="1.0" encoding="utf-8"?>
<formControlPr xmlns="http://schemas.microsoft.com/office/spreadsheetml/2009/9/main" objectType="Drop" dropLines="3" dropStyle="combo" dx="16" fmlaLink="$M$16" fmlaRange="ICLS!$E$7:$E$9" noThreeD="1" sel="1" val="0"/>
</file>

<file path=xl/ctrlProps/ctrlProp18.xml><?xml version="1.0" encoding="utf-8"?>
<formControlPr xmlns="http://schemas.microsoft.com/office/spreadsheetml/2009/9/main" objectType="CheckBox" fmlaLink="$M$21" lockText="1" noThreeD="1"/>
</file>

<file path=xl/ctrlProps/ctrlProp19.xml><?xml version="1.0" encoding="utf-8"?>
<formControlPr xmlns="http://schemas.microsoft.com/office/spreadsheetml/2009/9/main" objectType="CheckBox" fmlaLink="$M$21" lockText="1" noThreeD="1"/>
</file>

<file path=xl/ctrlProps/ctrlProp2.xml><?xml version="1.0" encoding="utf-8"?>
<formControlPr xmlns="http://schemas.microsoft.com/office/spreadsheetml/2009/9/main" objectType="Drop" dropLines="3" dropStyle="combo" dx="16" fmlaLink="$M$13" fmlaRange="ICLS!$C$7:$C$9" noThreeD="1" sel="1" val="0"/>
</file>

<file path=xl/ctrlProps/ctrlProp20.xml><?xml version="1.0" encoding="utf-8"?>
<formControlPr xmlns="http://schemas.microsoft.com/office/spreadsheetml/2009/9/main" objectType="CheckBox" fmlaLink="$M$22" lockText="1" noThreeD="1"/>
</file>

<file path=xl/ctrlProps/ctrlProp21.xml><?xml version="1.0" encoding="utf-8"?>
<formControlPr xmlns="http://schemas.microsoft.com/office/spreadsheetml/2009/9/main" objectType="Drop" dropLines="2" dropStyle="combo" dx="16" fmlaLink="$M$23" fmlaRange="ICLS!$K$7:$K$8" noThreeD="1" sel="1" val="0"/>
</file>

<file path=xl/ctrlProps/ctrlProp22.xml><?xml version="1.0" encoding="utf-8"?>
<formControlPr xmlns="http://schemas.microsoft.com/office/spreadsheetml/2009/9/main" objectType="Drop" dropLines="3" dropStyle="combo" dx="16" fmlaLink="$M$24" fmlaRange="ICLS!$L$7:$L$9" noThreeD="1" sel="1" val="0"/>
</file>

<file path=xl/ctrlProps/ctrlProp23.xml><?xml version="1.0" encoding="utf-8"?>
<formControlPr xmlns="http://schemas.microsoft.com/office/spreadsheetml/2009/9/main" objectType="Drop" dropLines="2" dropStyle="combo" dx="16" fmlaLink="$M$27" fmlaRange="ICLS!$N$7:$N$8" noThreeD="1" sel="1" val="0"/>
</file>

<file path=xl/ctrlProps/ctrlProp24.xml><?xml version="1.0" encoding="utf-8"?>
<formControlPr xmlns="http://schemas.microsoft.com/office/spreadsheetml/2009/9/main" objectType="Drop" dropLines="5" dropStyle="combo" dx="16" fmlaLink="$M$32" fmlaRange="ICLS!$Q$7:$Q$11" noThreeD="1" sel="1" val="0"/>
</file>

<file path=xl/ctrlProps/ctrlProp25.xml><?xml version="1.0" encoding="utf-8"?>
<formControlPr xmlns="http://schemas.microsoft.com/office/spreadsheetml/2009/9/main" objectType="Drop" dropLines="3" dropStyle="combo" dx="16" fmlaLink="$M$28" fmlaRange="ICLS!$O$7:$O$9" noThreeD="1" sel="1" val="0"/>
</file>

<file path=xl/ctrlProps/ctrlProp3.xml><?xml version="1.0" encoding="utf-8"?>
<formControlPr xmlns="http://schemas.microsoft.com/office/spreadsheetml/2009/9/main" objectType="Drop" dropLines="2" dropStyle="combo" dx="16" fmlaLink="$M$17" fmlaRange="ICLS!$F$7:$F$8" noThreeD="1" sel="2" val="0"/>
</file>

<file path=xl/ctrlProps/ctrlProp4.xml><?xml version="1.0" encoding="utf-8"?>
<formControlPr xmlns="http://schemas.microsoft.com/office/spreadsheetml/2009/9/main" objectType="Drop" dropLines="5" dropStyle="combo" dx="16" fmlaLink="$M$18" fmlaRange="ICLS!$G$7:$G$11" noThreeD="1" sel="1" val="0"/>
</file>

<file path=xl/ctrlProps/ctrlProp5.xml><?xml version="1.0" encoding="utf-8"?>
<formControlPr xmlns="http://schemas.microsoft.com/office/spreadsheetml/2009/9/main" objectType="Drop" dropLines="4" dropStyle="combo" dx="16" fmlaLink="$M$26" fmlaRange="ICLS!$M$7:$M$10" noThreeD="1" sel="4" val="0"/>
</file>

<file path=xl/ctrlProps/ctrlProp6.xml><?xml version="1.0" encoding="utf-8"?>
<formControlPr xmlns="http://schemas.microsoft.com/office/spreadsheetml/2009/9/main" objectType="Drop" dropLines="9" dropStyle="combo" dx="16" fmlaLink="$M$30" fmlaRange="ICLS!$P$7:$P$15" noThreeD="1" sel="1" val="0"/>
</file>

<file path=xl/ctrlProps/ctrlProp7.xml><?xml version="1.0" encoding="utf-8"?>
<formControlPr xmlns="http://schemas.microsoft.com/office/spreadsheetml/2009/9/main" objectType="Drop" dropLines="4" dropStyle="combo" dx="16" fmlaLink="$M$35" fmlaRange="ICLS!$S$7:$S$9" noThreeD="1" sel="1" val="0"/>
</file>

<file path=xl/ctrlProps/ctrlProp8.xml><?xml version="1.0" encoding="utf-8"?>
<formControlPr xmlns="http://schemas.microsoft.com/office/spreadsheetml/2009/9/main" objectType="Drop" dropLines="4" dropStyle="combo" dx="16" fmlaLink="$M$39" fmlaRange="ICLS!$T$7:$T$10" noThreeD="1" sel="2" val="0"/>
</file>

<file path=xl/ctrlProps/ctrlProp9.xml><?xml version="1.0" encoding="utf-8"?>
<formControlPr xmlns="http://schemas.microsoft.com/office/spreadsheetml/2009/9/main" objectType="Drop" dropLines="2" dropStyle="combo" dx="16" fmlaLink="$M$43" fmlaRange="ICLS!$V$7:$V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28575</xdr:rowOff>
        </xdr:from>
        <xdr:to>
          <xdr:col>4</xdr:col>
          <xdr:colOff>1504950</xdr:colOff>
          <xdr:row>14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19050</xdr:rowOff>
        </xdr:from>
        <xdr:to>
          <xdr:col>4</xdr:col>
          <xdr:colOff>1504950</xdr:colOff>
          <xdr:row>13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19050</xdr:rowOff>
        </xdr:from>
        <xdr:to>
          <xdr:col>4</xdr:col>
          <xdr:colOff>1504950</xdr:colOff>
          <xdr:row>16</xdr:row>
          <xdr:rowOff>209550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28575</xdr:rowOff>
        </xdr:from>
        <xdr:to>
          <xdr:col>4</xdr:col>
          <xdr:colOff>1504950</xdr:colOff>
          <xdr:row>17</xdr:row>
          <xdr:rowOff>228600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4</xdr:col>
          <xdr:colOff>1504950</xdr:colOff>
          <xdr:row>25</xdr:row>
          <xdr:rowOff>219075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19050</xdr:rowOff>
        </xdr:from>
        <xdr:to>
          <xdr:col>4</xdr:col>
          <xdr:colOff>1504950</xdr:colOff>
          <xdr:row>29</xdr:row>
          <xdr:rowOff>209550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19050</xdr:rowOff>
        </xdr:from>
        <xdr:to>
          <xdr:col>4</xdr:col>
          <xdr:colOff>1504950</xdr:colOff>
          <xdr:row>34</xdr:row>
          <xdr:rowOff>209550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19050</xdr:rowOff>
        </xdr:from>
        <xdr:to>
          <xdr:col>4</xdr:col>
          <xdr:colOff>1504950</xdr:colOff>
          <xdr:row>38</xdr:row>
          <xdr:rowOff>209550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28575</xdr:rowOff>
        </xdr:from>
        <xdr:to>
          <xdr:col>4</xdr:col>
          <xdr:colOff>1504950</xdr:colOff>
          <xdr:row>42</xdr:row>
          <xdr:rowOff>228600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19050</xdr:rowOff>
        </xdr:from>
        <xdr:to>
          <xdr:col>4</xdr:col>
          <xdr:colOff>1504950</xdr:colOff>
          <xdr:row>43</xdr:row>
          <xdr:rowOff>219075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38100</xdr:rowOff>
        </xdr:from>
        <xdr:to>
          <xdr:col>4</xdr:col>
          <xdr:colOff>333375</xdr:colOff>
          <xdr:row>19</xdr:row>
          <xdr:rowOff>19050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38100</xdr:rowOff>
        </xdr:from>
        <xdr:to>
          <xdr:col>4</xdr:col>
          <xdr:colOff>333375</xdr:colOff>
          <xdr:row>40</xdr:row>
          <xdr:rowOff>19050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19050</xdr:rowOff>
        </xdr:from>
        <xdr:to>
          <xdr:col>4</xdr:col>
          <xdr:colOff>1504950</xdr:colOff>
          <xdr:row>35</xdr:row>
          <xdr:rowOff>209550</xdr:rowOff>
        </xdr:to>
        <xdr:sp macro="" textlink="">
          <xdr:nvSpPr>
            <xdr:cNvPr id="7225" name="Drop Dow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38100</xdr:rowOff>
        </xdr:from>
        <xdr:to>
          <xdr:col>4</xdr:col>
          <xdr:colOff>333375</xdr:colOff>
          <xdr:row>21</xdr:row>
          <xdr:rowOff>19050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19050</xdr:rowOff>
        </xdr:from>
        <xdr:to>
          <xdr:col>4</xdr:col>
          <xdr:colOff>1504950</xdr:colOff>
          <xdr:row>28</xdr:row>
          <xdr:rowOff>209550</xdr:rowOff>
        </xdr:to>
        <xdr:sp macro="" textlink="">
          <xdr:nvSpPr>
            <xdr:cNvPr id="7227" name="Drop Down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38100</xdr:rowOff>
        </xdr:from>
        <xdr:to>
          <xdr:col>4</xdr:col>
          <xdr:colOff>333375</xdr:colOff>
          <xdr:row>21</xdr:row>
          <xdr:rowOff>19050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28575</xdr:rowOff>
        </xdr:from>
        <xdr:to>
          <xdr:col>4</xdr:col>
          <xdr:colOff>1504950</xdr:colOff>
          <xdr:row>15</xdr:row>
          <xdr:rowOff>228600</xdr:rowOff>
        </xdr:to>
        <xdr:sp macro="" textlink="">
          <xdr:nvSpPr>
            <xdr:cNvPr id="7230" name="Drop Down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38100</xdr:rowOff>
        </xdr:from>
        <xdr:to>
          <xdr:col>4</xdr:col>
          <xdr:colOff>333375</xdr:colOff>
          <xdr:row>21</xdr:row>
          <xdr:rowOff>19050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38100</xdr:rowOff>
        </xdr:from>
        <xdr:to>
          <xdr:col>4</xdr:col>
          <xdr:colOff>333375</xdr:colOff>
          <xdr:row>22</xdr:row>
          <xdr:rowOff>19050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38100</xdr:rowOff>
        </xdr:from>
        <xdr:to>
          <xdr:col>4</xdr:col>
          <xdr:colOff>333375</xdr:colOff>
          <xdr:row>22</xdr:row>
          <xdr:rowOff>19050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19050</xdr:rowOff>
        </xdr:from>
        <xdr:to>
          <xdr:col>4</xdr:col>
          <xdr:colOff>1504950</xdr:colOff>
          <xdr:row>22</xdr:row>
          <xdr:rowOff>209550</xdr:rowOff>
        </xdr:to>
        <xdr:sp macro="" textlink="">
          <xdr:nvSpPr>
            <xdr:cNvPr id="7234" name="Drop Dow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19050</xdr:rowOff>
        </xdr:from>
        <xdr:to>
          <xdr:col>4</xdr:col>
          <xdr:colOff>1504950</xdr:colOff>
          <xdr:row>23</xdr:row>
          <xdr:rowOff>209550</xdr:rowOff>
        </xdr:to>
        <xdr:sp macro="" textlink="">
          <xdr:nvSpPr>
            <xdr:cNvPr id="7237" name="Drop Down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19050</xdr:rowOff>
        </xdr:from>
        <xdr:to>
          <xdr:col>4</xdr:col>
          <xdr:colOff>1504950</xdr:colOff>
          <xdr:row>26</xdr:row>
          <xdr:rowOff>219075</xdr:rowOff>
        </xdr:to>
        <xdr:sp macro="" textlink="">
          <xdr:nvSpPr>
            <xdr:cNvPr id="7238" name="Drop Dow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19050</xdr:rowOff>
        </xdr:from>
        <xdr:to>
          <xdr:col>4</xdr:col>
          <xdr:colOff>1504950</xdr:colOff>
          <xdr:row>31</xdr:row>
          <xdr:rowOff>209550</xdr:rowOff>
        </xdr:to>
        <xdr:sp macro="" textlink="">
          <xdr:nvSpPr>
            <xdr:cNvPr id="7239" name="Drop Down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19050</xdr:rowOff>
        </xdr:from>
        <xdr:to>
          <xdr:col>4</xdr:col>
          <xdr:colOff>1504950</xdr:colOff>
          <xdr:row>27</xdr:row>
          <xdr:rowOff>209550</xdr:rowOff>
        </xdr:to>
        <xdr:sp macro="" textlink="">
          <xdr:nvSpPr>
            <xdr:cNvPr id="7240" name="Drop Down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190499</xdr:rowOff>
    </xdr:from>
    <xdr:to>
      <xdr:col>3</xdr:col>
      <xdr:colOff>47625</xdr:colOff>
      <xdr:row>17</xdr:row>
      <xdr:rowOff>28574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5" y="2895599"/>
          <a:ext cx="1952625" cy="600075"/>
        </a:xfrm>
        <a:prstGeom prst="wedgeRectCallout">
          <a:avLst>
            <a:gd name="adj1" fmla="val -40387"/>
            <a:gd name="adj2" fmla="val -470089"/>
          </a:avLst>
        </a:prstGeom>
        <a:solidFill>
          <a:srgbClr val="4F81BD">
            <a:alpha val="5411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codes à modifier suivant model MFGPro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showGridLines="0" tabSelected="1" zoomScaleNormal="100" workbookViewId="0">
      <selection activeCell="I26" sqref="I26"/>
    </sheetView>
  </sheetViews>
  <sheetFormatPr defaultColWidth="9.28515625" defaultRowHeight="15" customHeight="1" x14ac:dyDescent="0.25"/>
  <cols>
    <col min="1" max="2" width="1.42578125" style="19" customWidth="1"/>
    <col min="3" max="3" width="34.7109375" style="19" customWidth="1"/>
    <col min="4" max="4" width="2.28515625" style="19" customWidth="1"/>
    <col min="5" max="5" width="23.28515625" style="19" customWidth="1"/>
    <col min="6" max="6" width="2.28515625" style="19" customWidth="1"/>
    <col min="7" max="7" width="8" style="19" customWidth="1"/>
    <col min="8" max="8" width="7.7109375" style="19" customWidth="1"/>
    <col min="9" max="9" width="10.42578125" style="31" customWidth="1"/>
    <col min="10" max="10" width="7.42578125" style="19" customWidth="1"/>
    <col min="11" max="11" width="8.5703125" style="31" customWidth="1"/>
    <col min="12" max="12" width="2" style="19" customWidth="1"/>
    <col min="13" max="13" width="7.7109375" style="31" hidden="1" customWidth="1"/>
    <col min="14" max="14" width="25.7109375" style="19" hidden="1" customWidth="1"/>
    <col min="15" max="15" width="9.5703125" style="31" customWidth="1"/>
    <col min="16" max="16" width="25.7109375" style="19" customWidth="1"/>
    <col min="17" max="16384" width="9.28515625" style="19"/>
  </cols>
  <sheetData>
    <row r="1" spans="1:16" ht="10.15" customHeight="1" x14ac:dyDescent="0.25">
      <c r="A1" s="18"/>
      <c r="B1" s="18"/>
      <c r="C1" s="18"/>
      <c r="D1" s="18"/>
      <c r="E1" s="18"/>
      <c r="F1" s="18"/>
      <c r="G1" s="18"/>
      <c r="H1" s="18"/>
      <c r="I1" s="44"/>
    </row>
    <row r="2" spans="1:16" s="22" customFormat="1" ht="18" customHeight="1" x14ac:dyDescent="0.25">
      <c r="A2" s="21"/>
      <c r="B2" s="21"/>
      <c r="C2" s="21" t="s">
        <v>74</v>
      </c>
      <c r="D2" s="21"/>
      <c r="E2" s="21"/>
      <c r="F2" s="21"/>
      <c r="G2" s="21"/>
      <c r="H2" s="21"/>
      <c r="I2" s="45"/>
      <c r="K2" s="32"/>
      <c r="M2" s="32"/>
      <c r="O2" s="32"/>
    </row>
    <row r="3" spans="1:16" ht="10.15" customHeight="1" x14ac:dyDescent="0.25">
      <c r="A3" s="18"/>
      <c r="B3" s="18"/>
      <c r="C3" s="18"/>
      <c r="D3" s="18"/>
      <c r="E3" s="18"/>
      <c r="F3" s="18"/>
      <c r="G3" s="18"/>
      <c r="H3" s="18"/>
      <c r="I3" s="44"/>
    </row>
    <row r="4" spans="1:16" s="22" customFormat="1" ht="18" customHeight="1" x14ac:dyDescent="0.25">
      <c r="A4" s="21"/>
      <c r="B4" s="21"/>
      <c r="C4" s="23" t="s">
        <v>26</v>
      </c>
      <c r="D4" s="21"/>
      <c r="E4" s="21"/>
      <c r="F4" s="21"/>
      <c r="G4" s="21"/>
      <c r="H4" s="21"/>
      <c r="I4" s="45"/>
      <c r="K4" s="32"/>
      <c r="M4" s="32"/>
      <c r="O4" s="32"/>
    </row>
    <row r="5" spans="1:16" ht="10.15" customHeight="1" x14ac:dyDescent="0.25">
      <c r="A5" s="18"/>
      <c r="B5" s="18"/>
      <c r="C5" s="18"/>
      <c r="D5" s="18"/>
      <c r="E5" s="18"/>
      <c r="F5" s="18"/>
      <c r="G5" s="18"/>
      <c r="H5" s="18"/>
      <c r="I5" s="44"/>
    </row>
    <row r="6" spans="1:16" ht="20.100000000000001" customHeight="1" x14ac:dyDescent="0.25">
      <c r="A6" s="18"/>
      <c r="B6" s="18"/>
      <c r="C6" s="24" t="s">
        <v>27</v>
      </c>
      <c r="D6" s="18"/>
      <c r="E6" s="80" t="s">
        <v>28</v>
      </c>
      <c r="F6" s="18"/>
      <c r="G6" s="18"/>
      <c r="H6" s="18"/>
      <c r="I6" s="44"/>
    </row>
    <row r="7" spans="1:16" ht="20.100000000000001" customHeight="1" x14ac:dyDescent="0.25">
      <c r="A7" s="18"/>
      <c r="B7" s="18"/>
      <c r="C7" s="24" t="s">
        <v>29</v>
      </c>
      <c r="D7" s="18"/>
      <c r="E7" s="25">
        <f ca="1">TODAY()</f>
        <v>43947</v>
      </c>
      <c r="F7" s="18"/>
      <c r="G7" s="18"/>
      <c r="H7" s="18"/>
      <c r="I7" s="44"/>
    </row>
    <row r="8" spans="1:16" ht="10.15" customHeight="1" x14ac:dyDescent="0.25">
      <c r="A8" s="18"/>
      <c r="B8" s="18"/>
      <c r="C8" s="18"/>
      <c r="D8" s="18"/>
      <c r="E8" s="18"/>
      <c r="F8" s="18"/>
      <c r="G8" s="18"/>
      <c r="H8" s="18"/>
      <c r="I8" s="44"/>
    </row>
    <row r="9" spans="1:16" ht="27" customHeight="1" x14ac:dyDescent="0.25">
      <c r="A9" s="18"/>
      <c r="B9" s="18"/>
      <c r="C9" s="24" t="s">
        <v>30</v>
      </c>
      <c r="D9" s="18"/>
      <c r="E9" s="80" t="s">
        <v>32</v>
      </c>
      <c r="F9" s="18"/>
      <c r="G9" s="18"/>
      <c r="H9" s="18"/>
      <c r="I9" s="44"/>
    </row>
    <row r="10" spans="1:16" ht="10.15" customHeight="1" x14ac:dyDescent="0.25">
      <c r="A10" s="18"/>
      <c r="B10" s="18"/>
      <c r="C10" s="18"/>
      <c r="D10" s="18"/>
      <c r="E10" s="18"/>
      <c r="F10" s="18"/>
      <c r="G10" s="18"/>
      <c r="H10" s="18"/>
      <c r="I10" s="44"/>
    </row>
    <row r="11" spans="1:16" ht="20.100000000000001" customHeight="1" x14ac:dyDescent="0.25">
      <c r="A11" s="18"/>
      <c r="B11" s="18"/>
      <c r="C11" s="38" t="s">
        <v>56</v>
      </c>
      <c r="E11" s="18"/>
      <c r="F11" s="18"/>
      <c r="G11" s="18"/>
      <c r="K11" s="19"/>
      <c r="M11" s="19"/>
      <c r="O11" s="19"/>
    </row>
    <row r="12" spans="1:16" ht="10.15" customHeight="1" x14ac:dyDescent="0.25">
      <c r="A12" s="18"/>
      <c r="B12" s="18"/>
      <c r="C12" s="18"/>
      <c r="D12" s="18"/>
      <c r="E12" s="18"/>
      <c r="F12" s="18"/>
      <c r="G12" s="18"/>
      <c r="H12" s="18"/>
      <c r="I12" s="44"/>
    </row>
    <row r="13" spans="1:16" ht="20.100000000000001" customHeight="1" x14ac:dyDescent="0.25">
      <c r="A13" s="18"/>
      <c r="B13" s="18"/>
      <c r="C13" s="26" t="str">
        <f>ICLS!$C5</f>
        <v>Customer Specification</v>
      </c>
      <c r="D13" s="26"/>
      <c r="E13" s="18"/>
      <c r="F13" s="18"/>
      <c r="G13" s="18"/>
      <c r="H13" s="18"/>
      <c r="I13" s="44"/>
      <c r="M13" s="77">
        <v>1</v>
      </c>
      <c r="N13" s="26" t="str">
        <f>ICLS!$C2</f>
        <v>cust_spec</v>
      </c>
      <c r="P13" s="26"/>
    </row>
    <row r="14" spans="1:16" ht="9.75" customHeight="1" x14ac:dyDescent="0.25">
      <c r="A14" s="18"/>
      <c r="B14" s="18"/>
      <c r="C14" s="26"/>
      <c r="D14" s="26"/>
      <c r="E14" s="18"/>
      <c r="F14" s="18"/>
      <c r="G14" s="18"/>
      <c r="H14" s="18"/>
      <c r="I14" s="44"/>
      <c r="N14" s="26"/>
      <c r="P14" s="26"/>
    </row>
    <row r="15" spans="1:16" ht="20.100000000000001" customHeight="1" x14ac:dyDescent="0.25">
      <c r="A15" s="18"/>
      <c r="B15" s="18"/>
      <c r="C15" s="26" t="str">
        <f>ICLS!$D5</f>
        <v>Body size</v>
      </c>
      <c r="E15" s="18" t="s">
        <v>31</v>
      </c>
      <c r="F15" s="18"/>
      <c r="G15" s="18"/>
      <c r="H15" s="18"/>
      <c r="I15" s="44"/>
      <c r="M15" s="77">
        <v>1</v>
      </c>
      <c r="N15" s="26" t="str">
        <f>ICLS!$D2</f>
        <v xml:space="preserve">s_size    </v>
      </c>
      <c r="P15" s="26"/>
    </row>
    <row r="16" spans="1:16" ht="20.100000000000001" customHeight="1" x14ac:dyDescent="0.25">
      <c r="A16" s="18"/>
      <c r="B16" s="18"/>
      <c r="C16" s="26" t="str">
        <f>ICLS!E5</f>
        <v>Flange rating</v>
      </c>
      <c r="E16" s="18" t="s">
        <v>31</v>
      </c>
      <c r="F16" s="18"/>
      <c r="G16" s="18"/>
      <c r="H16" s="18"/>
      <c r="I16" s="44"/>
      <c r="K16" s="74" t="str">
        <f>IF(AND(s_size=6,s_flange_rating=2),"Not available!","")</f>
        <v/>
      </c>
      <c r="M16" s="77">
        <v>1</v>
      </c>
      <c r="N16" s="26" t="str">
        <f>ICLS!E2</f>
        <v>s_flange_rating</v>
      </c>
      <c r="P16" s="26"/>
    </row>
    <row r="17" spans="1:17" s="20" customFormat="1" ht="20.100000000000001" customHeight="1" x14ac:dyDescent="0.25">
      <c r="A17" s="18"/>
      <c r="B17" s="18"/>
      <c r="C17" s="26" t="str">
        <f>ICLS!$F5</f>
        <v xml:space="preserve">Actuator size                                    </v>
      </c>
      <c r="D17" s="19"/>
      <c r="E17" s="18"/>
      <c r="F17" s="18"/>
      <c r="G17" s="18"/>
      <c r="I17" s="31"/>
      <c r="J17" s="19"/>
      <c r="K17" s="31"/>
      <c r="L17" s="19"/>
      <c r="M17" s="77">
        <v>2</v>
      </c>
      <c r="N17" s="26" t="str">
        <f>ICLS!$F2</f>
        <v>s_act</v>
      </c>
    </row>
    <row r="18" spans="1:17" ht="20.100000000000001" customHeight="1" x14ac:dyDescent="0.25">
      <c r="A18" s="18"/>
      <c r="B18" s="18"/>
      <c r="C18" s="26" t="str">
        <f>ICLS!$G5</f>
        <v xml:space="preserve">Spring range - Regulator </v>
      </c>
      <c r="E18" s="18" t="s">
        <v>31</v>
      </c>
      <c r="F18" s="18"/>
      <c r="G18" s="18"/>
      <c r="H18" s="39" t="s">
        <v>45</v>
      </c>
      <c r="I18" s="79"/>
      <c r="J18" s="19" t="s">
        <v>38</v>
      </c>
      <c r="K18" s="42" t="e">
        <f>IF(OR(Pds&lt;Pminreg,Pds&gt;Pmaxreg),"!","")</f>
        <v>#VALUE!</v>
      </c>
      <c r="M18" s="77">
        <v>1</v>
      </c>
      <c r="N18" s="26" t="str">
        <f>ICLS!$G2</f>
        <v>s_spring</v>
      </c>
      <c r="P18" s="26"/>
    </row>
    <row r="19" spans="1:17" ht="20.100000000000001" customHeight="1" x14ac:dyDescent="0.25">
      <c r="A19" s="18"/>
      <c r="B19" s="18"/>
      <c r="C19" s="26" t="str">
        <f>ICLS!$H5</f>
        <v>Silencer</v>
      </c>
      <c r="E19" s="18"/>
      <c r="F19" s="18"/>
      <c r="G19" s="18"/>
      <c r="H19" s="18"/>
      <c r="I19" s="44"/>
      <c r="M19" s="77" t="b">
        <v>1</v>
      </c>
      <c r="N19" s="26" t="str">
        <f>ICLS!$H2</f>
        <v xml:space="preserve">s_sil </v>
      </c>
      <c r="P19" s="26"/>
    </row>
    <row r="20" spans="1:17" ht="6.75" customHeight="1" x14ac:dyDescent="0.25">
      <c r="A20" s="18"/>
      <c r="B20" s="18"/>
      <c r="C20" s="26"/>
      <c r="E20" s="18"/>
      <c r="F20" s="18"/>
      <c r="G20" s="18"/>
      <c r="H20" s="18"/>
      <c r="I20" s="44"/>
      <c r="N20" s="26"/>
      <c r="P20" s="26"/>
    </row>
    <row r="21" spans="1:17" ht="20.100000000000001" customHeight="1" x14ac:dyDescent="0.25">
      <c r="A21" s="18"/>
      <c r="B21" s="18"/>
      <c r="C21" s="26" t="str">
        <f>ICLS!I5</f>
        <v>Safety diaphragm</v>
      </c>
      <c r="E21" s="18"/>
      <c r="F21" s="18"/>
      <c r="G21" s="18"/>
      <c r="H21" s="18"/>
      <c r="I21" s="44"/>
      <c r="M21" s="77" t="b">
        <v>0</v>
      </c>
      <c r="N21" s="26" t="str">
        <f>ICLS!I2</f>
        <v>s_safety_d</v>
      </c>
      <c r="P21" s="26"/>
    </row>
    <row r="22" spans="1:17" ht="20.100000000000001" customHeight="1" x14ac:dyDescent="0.25">
      <c r="A22" s="18"/>
      <c r="B22" s="18"/>
      <c r="C22" s="26" t="str">
        <f>ICLS!J5</f>
        <v>Monitor version</v>
      </c>
      <c r="E22" s="18"/>
      <c r="F22" s="18"/>
      <c r="G22" s="18"/>
      <c r="H22" s="18"/>
      <c r="I22" s="44"/>
      <c r="M22" s="77" t="b">
        <v>0</v>
      </c>
      <c r="N22" s="26" t="str">
        <f>ICLS!J2</f>
        <v>s_monitor</v>
      </c>
      <c r="P22" s="26"/>
    </row>
    <row r="23" spans="1:17" ht="20.100000000000001" customHeight="1" x14ac:dyDescent="0.25">
      <c r="A23" s="18"/>
      <c r="B23" s="18"/>
      <c r="C23" s="26" t="str">
        <f>ICLS!K5</f>
        <v>Sensing line valve</v>
      </c>
      <c r="D23" s="26"/>
      <c r="E23" s="18"/>
      <c r="F23" s="18"/>
      <c r="G23" s="18"/>
      <c r="H23" s="18"/>
      <c r="I23" s="44"/>
      <c r="M23" s="77">
        <v>1</v>
      </c>
      <c r="N23" s="26" t="str">
        <f>ICLS!K2</f>
        <v>s_sensing</v>
      </c>
      <c r="P23" s="26"/>
    </row>
    <row r="24" spans="1:17" ht="20.100000000000001" customHeight="1" x14ac:dyDescent="0.25">
      <c r="A24" s="18"/>
      <c r="B24" s="18"/>
      <c r="C24" s="26" t="str">
        <f>ICLS!L5</f>
        <v>Vent</v>
      </c>
      <c r="D24" s="26"/>
      <c r="E24" s="18"/>
      <c r="F24" s="18"/>
      <c r="G24" s="18"/>
      <c r="H24" s="18"/>
      <c r="I24" s="44"/>
      <c r="M24" s="77">
        <v>1</v>
      </c>
      <c r="N24" s="26" t="str">
        <f>ICLS!L2</f>
        <v>s_vent</v>
      </c>
      <c r="P24" s="26"/>
    </row>
    <row r="25" spans="1:17" ht="9" customHeight="1" x14ac:dyDescent="0.25">
      <c r="A25" s="18"/>
      <c r="B25" s="18"/>
      <c r="C25" s="26"/>
      <c r="D25" s="26"/>
      <c r="E25" s="26"/>
      <c r="F25" s="18"/>
      <c r="G25" s="18"/>
      <c r="H25" s="18"/>
      <c r="I25" s="44"/>
      <c r="J25" s="18"/>
      <c r="N25" s="26"/>
      <c r="P25" s="26"/>
    </row>
    <row r="26" spans="1:17" ht="20.100000000000001" customHeight="1" x14ac:dyDescent="0.25">
      <c r="A26" s="18"/>
      <c r="B26" s="18"/>
      <c r="C26" s="26" t="str">
        <f>ICLS!$M5</f>
        <v>SSV model</v>
      </c>
      <c r="D26" s="26"/>
      <c r="E26" s="18"/>
      <c r="F26" s="18"/>
      <c r="G26" s="18"/>
      <c r="M26" s="77">
        <v>4</v>
      </c>
      <c r="N26" s="26" t="str">
        <f>ICLS!$M2</f>
        <v>s_ssv_type</v>
      </c>
      <c r="O26" s="19"/>
    </row>
    <row r="27" spans="1:17" ht="20.100000000000001" customHeight="1" x14ac:dyDescent="0.25">
      <c r="A27" s="18"/>
      <c r="B27" s="18"/>
      <c r="C27" s="26" t="str">
        <f>ICLS!N5</f>
        <v>SSV function</v>
      </c>
      <c r="D27" s="26"/>
      <c r="E27" s="18"/>
      <c r="F27" s="18"/>
      <c r="G27" s="18"/>
      <c r="M27" s="77">
        <v>1</v>
      </c>
      <c r="N27" s="26" t="str">
        <f>ICLS!N2</f>
        <v>s_ssv_funct</v>
      </c>
      <c r="O27" s="19"/>
    </row>
    <row r="28" spans="1:17" ht="20.100000000000001" customHeight="1" x14ac:dyDescent="0.25">
      <c r="A28" s="18"/>
      <c r="B28" s="18"/>
      <c r="C28" s="26" t="str">
        <f>ICLS!O5</f>
        <v>SSV actuator size</v>
      </c>
      <c r="D28" s="26"/>
      <c r="E28" s="18"/>
      <c r="F28" s="18"/>
      <c r="G28" s="18"/>
      <c r="H28" s="18"/>
      <c r="I28" s="44"/>
      <c r="M28" s="77">
        <v>1</v>
      </c>
      <c r="N28" s="26" t="str">
        <f>ICLS!O2</f>
        <v>s_act_ssv</v>
      </c>
      <c r="P28" s="26"/>
    </row>
    <row r="29" spans="1:17" ht="20.100000000000001" customHeight="1" x14ac:dyDescent="0.25">
      <c r="A29" s="18"/>
      <c r="B29" s="18"/>
      <c r="C29" s="26" t="str">
        <f>ICLS!R5</f>
        <v>SSV position indicator</v>
      </c>
      <c r="D29" s="26"/>
      <c r="E29" s="18"/>
      <c r="F29" s="18"/>
      <c r="G29" s="18"/>
      <c r="H29" s="18"/>
      <c r="I29" s="44"/>
      <c r="M29" s="77">
        <v>3</v>
      </c>
      <c r="N29" s="26" t="str">
        <f>ICLS!R2</f>
        <v>s_pos_ssv</v>
      </c>
      <c r="P29" s="26"/>
    </row>
    <row r="30" spans="1:17" ht="20.100000000000001" customHeight="1" x14ac:dyDescent="0.25">
      <c r="A30" s="18"/>
      <c r="B30" s="18"/>
      <c r="C30" s="26" t="str">
        <f>ICLS!$P5</f>
        <v xml:space="preserve">Spring range - OPSO </v>
      </c>
      <c r="D30" s="26"/>
      <c r="E30" s="18"/>
      <c r="F30" s="18"/>
      <c r="G30" s="18"/>
      <c r="H30" s="39" t="s">
        <v>46</v>
      </c>
      <c r="I30" s="79"/>
      <c r="J30" s="19" t="str">
        <f>IF(s_ssv_type=1,"","mbar")</f>
        <v>mbar</v>
      </c>
      <c r="K30" s="42" t="str">
        <f>IF(s_ssv_type=1,"",IF(NOT(ISNUMBER(Pdso)),"fill", IF(OR(Pdso&lt;PminOPSO,Pdso&gt;PmaxOPSO,Pdso-Pds&lt;Min_diff_o),"!","")))</f>
        <v>fill</v>
      </c>
      <c r="M30" s="77">
        <v>1</v>
      </c>
      <c r="N30" s="26" t="str">
        <f>ICLS!$P2</f>
        <v xml:space="preserve">s_spring_opso   </v>
      </c>
      <c r="P30" s="20"/>
      <c r="Q30" s="20"/>
    </row>
    <row r="31" spans="1:17" ht="20.100000000000001" customHeight="1" x14ac:dyDescent="0.25">
      <c r="A31" s="18"/>
      <c r="B31" s="18"/>
      <c r="C31" s="26"/>
      <c r="D31" s="26"/>
      <c r="E31" s="18"/>
      <c r="F31" s="18"/>
      <c r="G31" s="18"/>
      <c r="I31" s="19"/>
      <c r="J31" s="39"/>
      <c r="K31" s="74" t="str">
        <f>IF(s_ssv_type=1,"","Min difference to Pds = "&amp;Min_diff_o&amp;" mbar")</f>
        <v>Min difference to Pds = 20 mbar</v>
      </c>
      <c r="N31" s="26"/>
      <c r="P31" s="20"/>
      <c r="Q31" s="20"/>
    </row>
    <row r="32" spans="1:17" ht="20.100000000000001" customHeight="1" x14ac:dyDescent="0.25">
      <c r="A32" s="18"/>
      <c r="B32" s="18"/>
      <c r="C32" s="26" t="str">
        <f>ICLS!$Q5</f>
        <v xml:space="preserve">Spring range - UPSO </v>
      </c>
      <c r="E32" s="78"/>
      <c r="F32" s="18"/>
      <c r="G32" s="18"/>
      <c r="H32" s="39" t="s">
        <v>47</v>
      </c>
      <c r="I32" s="79"/>
      <c r="J32" s="19" t="str">
        <f>IF(s_ssv_type=3,"mbar","")</f>
        <v/>
      </c>
      <c r="K32" s="42" t="str">
        <f>IF(s_ssv_type=1,"",IF(NOT(ISNUMBER(Pdsu)),"fill", IF(OR(Pdsu&lt;PminUPSO,Pdsu&gt;PmaxUPSO,Pds-Pdsu&lt;Min_diff_u),"!","")))</f>
        <v>fill</v>
      </c>
      <c r="M32" s="77">
        <v>1</v>
      </c>
      <c r="N32" s="26" t="str">
        <f>ICLS!Q2</f>
        <v>s_spring_upso</v>
      </c>
      <c r="P32" s="26"/>
    </row>
    <row r="33" spans="1:17" ht="20.100000000000001" customHeight="1" x14ac:dyDescent="0.25">
      <c r="A33" s="18"/>
      <c r="B33" s="18"/>
      <c r="C33" s="26"/>
      <c r="D33" s="26"/>
      <c r="E33" s="18"/>
      <c r="F33" s="18"/>
      <c r="G33" s="18"/>
      <c r="I33" s="19"/>
      <c r="J33" s="39"/>
      <c r="K33" s="74" t="str">
        <f>IF(s_ssv_type=1,"","Min difference to Pds = "&amp;Min_diff_u&amp;" mbar")</f>
        <v>Min difference to Pds = 10 mbar</v>
      </c>
      <c r="N33" s="26"/>
      <c r="P33" s="20"/>
      <c r="Q33" s="20"/>
    </row>
    <row r="34" spans="1:17" ht="9.75" customHeight="1" x14ac:dyDescent="0.25">
      <c r="A34" s="18"/>
      <c r="B34" s="18"/>
      <c r="C34" s="26"/>
      <c r="E34" s="78"/>
      <c r="F34" s="18"/>
      <c r="G34" s="18"/>
      <c r="H34" s="39"/>
      <c r="I34" s="39"/>
      <c r="J34" s="39"/>
      <c r="K34" s="39"/>
      <c r="N34" s="26"/>
      <c r="P34" s="26"/>
    </row>
    <row r="35" spans="1:17" ht="20.100000000000001" customHeight="1" x14ac:dyDescent="0.25">
      <c r="A35" s="18"/>
      <c r="B35" s="18"/>
      <c r="C35" s="26" t="str">
        <f>ICLS!$S5</f>
        <v xml:space="preserve">Coating            </v>
      </c>
      <c r="D35" s="26"/>
      <c r="E35" s="18"/>
      <c r="F35" s="18"/>
      <c r="G35" s="18"/>
      <c r="H35" s="18"/>
      <c r="I35" s="44"/>
      <c r="M35" s="77">
        <v>1</v>
      </c>
      <c r="N35" s="26" t="str">
        <f>ICLS!$S2</f>
        <v xml:space="preserve">s_bgz_ral    </v>
      </c>
      <c r="P35" s="26"/>
    </row>
    <row r="36" spans="1:17" ht="20.100000000000001" customHeight="1" x14ac:dyDescent="0.25">
      <c r="A36" s="18"/>
      <c r="B36" s="18"/>
      <c r="C36" s="26" t="str">
        <f>ICLS!X5</f>
        <v>Labels</v>
      </c>
      <c r="D36" s="26"/>
      <c r="E36" s="18"/>
      <c r="F36" s="18"/>
      <c r="G36" s="18"/>
      <c r="H36" s="18"/>
      <c r="I36" s="44"/>
      <c r="M36" s="77">
        <v>1</v>
      </c>
      <c r="N36" s="26" t="str">
        <f>ICLS!X2</f>
        <v>s_label</v>
      </c>
      <c r="P36" s="26"/>
    </row>
    <row r="37" spans="1:17" ht="10.5" customHeight="1" x14ac:dyDescent="0.25">
      <c r="A37" s="18"/>
      <c r="B37" s="18"/>
      <c r="C37" s="26"/>
      <c r="E37" s="18"/>
      <c r="F37" s="18"/>
      <c r="G37" s="18"/>
      <c r="H37" s="18"/>
      <c r="I37" s="44"/>
      <c r="N37" s="26"/>
      <c r="P37" s="26"/>
    </row>
    <row r="38" spans="1:17" ht="20.100000000000001" customHeight="1" x14ac:dyDescent="0.25">
      <c r="A38" s="18"/>
      <c r="B38" s="18"/>
      <c r="C38" s="38" t="s">
        <v>41</v>
      </c>
      <c r="E38" s="18"/>
      <c r="F38" s="18"/>
      <c r="G38" s="18"/>
      <c r="H38" s="18"/>
      <c r="I38" s="44"/>
      <c r="N38" s="26"/>
      <c r="P38" s="26"/>
    </row>
    <row r="39" spans="1:17" ht="20.100000000000001" customHeight="1" x14ac:dyDescent="0.25">
      <c r="A39" s="18"/>
      <c r="B39" s="18"/>
      <c r="C39" s="26" t="str">
        <f>ICLS!$T5</f>
        <v>PS (bar)</v>
      </c>
      <c r="D39" s="26"/>
      <c r="E39" s="18"/>
      <c r="F39" s="18"/>
      <c r="G39" s="18"/>
      <c r="H39" s="18"/>
      <c r="I39" s="44"/>
      <c r="K39" s="74" t="str">
        <f>IF(AND(s_size=6,s_it_ps1=4),"Not available!","")</f>
        <v/>
      </c>
      <c r="M39" s="77">
        <v>2</v>
      </c>
      <c r="N39" s="26" t="str">
        <f>ICLS!$T2</f>
        <v xml:space="preserve">s_it_ps1     </v>
      </c>
      <c r="P39" s="26"/>
    </row>
    <row r="40" spans="1:17" ht="20.100000000000001" customHeight="1" x14ac:dyDescent="0.25">
      <c r="A40" s="18"/>
      <c r="B40" s="18"/>
      <c r="C40" s="26" t="str">
        <f>ICLS!$U5</f>
        <v>DVGW N° on name plate</v>
      </c>
      <c r="E40" s="18"/>
      <c r="F40" s="18"/>
      <c r="G40" s="18"/>
      <c r="H40" s="18"/>
      <c r="I40" s="44"/>
      <c r="M40" s="77" t="b">
        <v>0</v>
      </c>
      <c r="N40" s="26" t="str">
        <f>ICLS!$U2</f>
        <v xml:space="preserve">s_dvgw  </v>
      </c>
      <c r="P40" s="26"/>
    </row>
    <row r="41" spans="1:17" ht="9" customHeight="1" x14ac:dyDescent="0.25">
      <c r="A41" s="18"/>
      <c r="B41" s="18"/>
      <c r="C41" s="26"/>
      <c r="E41" s="18"/>
      <c r="F41" s="18"/>
      <c r="G41" s="18"/>
      <c r="H41" s="18"/>
      <c r="I41" s="44"/>
      <c r="N41" s="26"/>
      <c r="P41" s="26"/>
    </row>
    <row r="42" spans="1:17" ht="20.100000000000001" customHeight="1" x14ac:dyDescent="0.25">
      <c r="A42" s="18"/>
      <c r="B42" s="18"/>
      <c r="C42" s="38" t="s">
        <v>42</v>
      </c>
      <c r="E42" s="18"/>
      <c r="F42" s="18"/>
      <c r="G42" s="18"/>
      <c r="H42" s="18"/>
      <c r="I42" s="44"/>
      <c r="N42" s="26"/>
      <c r="P42" s="26"/>
    </row>
    <row r="43" spans="1:17" ht="20.100000000000001" customHeight="1" x14ac:dyDescent="0.25">
      <c r="A43" s="18"/>
      <c r="B43" s="18"/>
      <c r="C43" s="26" t="str">
        <f>ICLS!$V5</f>
        <v>Inspection certificate</v>
      </c>
      <c r="E43" s="18" t="s">
        <v>31</v>
      </c>
      <c r="F43" s="18"/>
      <c r="G43" s="18"/>
      <c r="H43" s="18"/>
      <c r="I43" s="44"/>
      <c r="M43" s="77">
        <v>1</v>
      </c>
      <c r="N43" s="26" t="str">
        <f>ICLS!$V2</f>
        <v xml:space="preserve">s_zeug_a     </v>
      </c>
      <c r="P43" s="26"/>
    </row>
    <row r="44" spans="1:17" ht="20.100000000000001" customHeight="1" x14ac:dyDescent="0.25">
      <c r="A44" s="18"/>
      <c r="B44" s="18"/>
      <c r="C44" s="26" t="str">
        <f>ICLS!$W5</f>
        <v>Material certificate</v>
      </c>
      <c r="D44" s="26"/>
      <c r="E44" s="18"/>
      <c r="F44" s="18"/>
      <c r="G44" s="18"/>
      <c r="H44" s="18"/>
      <c r="I44" s="44"/>
      <c r="M44" s="77">
        <v>1</v>
      </c>
      <c r="N44" s="26" t="str">
        <f>ICLS!$W2</f>
        <v xml:space="preserve">s_zeug_w     </v>
      </c>
      <c r="P44" s="26"/>
    </row>
    <row r="45" spans="1:17" ht="9" customHeight="1" x14ac:dyDescent="0.25"/>
  </sheetData>
  <sheetProtection password="DCB7" sheet="1" objects="1" scenarios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&amp;L&amp;8&amp;F&amp;R&amp;8© The Fellowship of the O-Ring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>
                <anchor moveWithCells="1">
                  <from>
                    <xdr:col>4</xdr:col>
                    <xdr:colOff>0</xdr:colOff>
                    <xdr:row>14</xdr:row>
                    <xdr:rowOff>28575</xdr:rowOff>
                  </from>
                  <to>
                    <xdr:col>4</xdr:col>
                    <xdr:colOff>1504950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Drop Down 3">
              <controlPr locked="0" defaultSize="0" autoLine="0" autoPict="0">
                <anchor moveWithCells="1">
                  <from>
                    <xdr:col>4</xdr:col>
                    <xdr:colOff>0</xdr:colOff>
                    <xdr:row>12</xdr:row>
                    <xdr:rowOff>19050</xdr:rowOff>
                  </from>
                  <to>
                    <xdr:col>4</xdr:col>
                    <xdr:colOff>1504950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Drop Down 4">
              <controlPr locked="0" defaultSize="0" autoLine="0" autoPict="0">
                <anchor moveWithCells="1">
                  <from>
                    <xdr:col>4</xdr:col>
                    <xdr:colOff>0</xdr:colOff>
                    <xdr:row>16</xdr:row>
                    <xdr:rowOff>19050</xdr:rowOff>
                  </from>
                  <to>
                    <xdr:col>4</xdr:col>
                    <xdr:colOff>1504950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7" name="Drop Down 12">
              <controlPr locked="0" defaultSize="0" autoLine="0" autoPict="0">
                <anchor moveWithCells="1">
                  <from>
                    <xdr:col>4</xdr:col>
                    <xdr:colOff>0</xdr:colOff>
                    <xdr:row>17</xdr:row>
                    <xdr:rowOff>28575</xdr:rowOff>
                  </from>
                  <to>
                    <xdr:col>4</xdr:col>
                    <xdr:colOff>1504950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8" name="Drop Down 13">
              <controlPr locked="0" defaultSize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4</xdr:col>
                    <xdr:colOff>1504950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9" name="Drop Down 18">
              <controlPr locked="0" defaultSize="0" autoLine="0" autoPict="0">
                <anchor moveWithCells="1">
                  <from>
                    <xdr:col>4</xdr:col>
                    <xdr:colOff>0</xdr:colOff>
                    <xdr:row>29</xdr:row>
                    <xdr:rowOff>19050</xdr:rowOff>
                  </from>
                  <to>
                    <xdr:col>4</xdr:col>
                    <xdr:colOff>1504950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0" name="Drop Down 25">
              <controlPr locked="0" defaultSize="0" autoLine="0" autoPict="0">
                <anchor moveWithCells="1">
                  <from>
                    <xdr:col>4</xdr:col>
                    <xdr:colOff>0</xdr:colOff>
                    <xdr:row>34</xdr:row>
                    <xdr:rowOff>19050</xdr:rowOff>
                  </from>
                  <to>
                    <xdr:col>4</xdr:col>
                    <xdr:colOff>1504950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1" name="Drop Down 30">
              <controlPr locked="0" defaultSize="0" autoLine="0" autoPict="0">
                <anchor moveWithCells="1">
                  <from>
                    <xdr:col>4</xdr:col>
                    <xdr:colOff>0</xdr:colOff>
                    <xdr:row>38</xdr:row>
                    <xdr:rowOff>19050</xdr:rowOff>
                  </from>
                  <to>
                    <xdr:col>4</xdr:col>
                    <xdr:colOff>1504950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2" name="Drop Down 31">
              <controlPr locked="0" defaultSize="0" autoLine="0" autoPict="0">
                <anchor moveWithCells="1">
                  <from>
                    <xdr:col>4</xdr:col>
                    <xdr:colOff>0</xdr:colOff>
                    <xdr:row>42</xdr:row>
                    <xdr:rowOff>28575</xdr:rowOff>
                  </from>
                  <to>
                    <xdr:col>4</xdr:col>
                    <xdr:colOff>1504950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3" name="Drop Down 32">
              <controlPr locked="0" defaultSize="0" autoLine="0" autoPict="0">
                <anchor moveWithCells="1">
                  <from>
                    <xdr:col>4</xdr:col>
                    <xdr:colOff>0</xdr:colOff>
                    <xdr:row>43</xdr:row>
                    <xdr:rowOff>19050</xdr:rowOff>
                  </from>
                  <to>
                    <xdr:col>4</xdr:col>
                    <xdr:colOff>1504950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4" name="Check Box 40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38100</xdr:rowOff>
                  </from>
                  <to>
                    <xdr:col>4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15" name="Check Box 44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38100</xdr:rowOff>
                  </from>
                  <to>
                    <xdr:col>4</xdr:col>
                    <xdr:colOff>333375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6" name="Drop Down 57">
              <controlPr locked="0" defaultSize="0" autoLine="0" autoPict="0">
                <anchor moveWithCells="1">
                  <from>
                    <xdr:col>4</xdr:col>
                    <xdr:colOff>0</xdr:colOff>
                    <xdr:row>35</xdr:row>
                    <xdr:rowOff>19050</xdr:rowOff>
                  </from>
                  <to>
                    <xdr:col>4</xdr:col>
                    <xdr:colOff>1504950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7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38100</xdr:rowOff>
                  </from>
                  <to>
                    <xdr:col>4</xdr:col>
                    <xdr:colOff>333375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18" name="Drop Down 59">
              <controlPr locked="0" defaultSize="0" autoLine="0" autoPict="0">
                <anchor moveWithCells="1">
                  <from>
                    <xdr:col>4</xdr:col>
                    <xdr:colOff>0</xdr:colOff>
                    <xdr:row>28</xdr:row>
                    <xdr:rowOff>19050</xdr:rowOff>
                  </from>
                  <to>
                    <xdr:col>4</xdr:col>
                    <xdr:colOff>1504950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19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38100</xdr:rowOff>
                  </from>
                  <to>
                    <xdr:col>4</xdr:col>
                    <xdr:colOff>333375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20" name="Drop Down 62">
              <controlPr locked="0" defaultSize="0" autoLine="0" autoPict="0">
                <anchor moveWithCells="1">
                  <from>
                    <xdr:col>4</xdr:col>
                    <xdr:colOff>0</xdr:colOff>
                    <xdr:row>15</xdr:row>
                    <xdr:rowOff>28575</xdr:rowOff>
                  </from>
                  <to>
                    <xdr:col>4</xdr:col>
                    <xdr:colOff>1504950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21" name="Check Box 63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38100</xdr:rowOff>
                  </from>
                  <to>
                    <xdr:col>4</xdr:col>
                    <xdr:colOff>333375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22" name="Check Box 64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38100</xdr:rowOff>
                  </from>
                  <to>
                    <xdr:col>4</xdr:col>
                    <xdr:colOff>333375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3" name="Check Box 65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38100</xdr:rowOff>
                  </from>
                  <to>
                    <xdr:col>4</xdr:col>
                    <xdr:colOff>333375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4" name="Drop Down 66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19050</xdr:rowOff>
                  </from>
                  <to>
                    <xdr:col>4</xdr:col>
                    <xdr:colOff>1504950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25" name="Drop Down 69">
              <controlPr locked="0" defaultSize="0" autoLine="0" autoPict="0">
                <anchor moveWithCells="1">
                  <from>
                    <xdr:col>4</xdr:col>
                    <xdr:colOff>0</xdr:colOff>
                    <xdr:row>23</xdr:row>
                    <xdr:rowOff>19050</xdr:rowOff>
                  </from>
                  <to>
                    <xdr:col>4</xdr:col>
                    <xdr:colOff>1504950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26" name="Drop Down 70">
              <controlPr locked="0" defaultSize="0" autoLine="0" autoPict="0">
                <anchor moveWithCells="1">
                  <from>
                    <xdr:col>4</xdr:col>
                    <xdr:colOff>0</xdr:colOff>
                    <xdr:row>26</xdr:row>
                    <xdr:rowOff>19050</xdr:rowOff>
                  </from>
                  <to>
                    <xdr:col>4</xdr:col>
                    <xdr:colOff>1504950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27" name="Drop Down 71">
              <controlPr locked="0" defaultSize="0" autoLine="0" autoPict="0">
                <anchor moveWithCells="1">
                  <from>
                    <xdr:col>4</xdr:col>
                    <xdr:colOff>0</xdr:colOff>
                    <xdr:row>31</xdr:row>
                    <xdr:rowOff>19050</xdr:rowOff>
                  </from>
                  <to>
                    <xdr:col>4</xdr:col>
                    <xdr:colOff>1504950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28" name="Drop Down 72">
              <controlPr locked="0" defaultSize="0" autoLine="0" autoPict="0">
                <anchor moveWithCells="1">
                  <from>
                    <xdr:col>4</xdr:col>
                    <xdr:colOff>0</xdr:colOff>
                    <xdr:row>27</xdr:row>
                    <xdr:rowOff>19050</xdr:rowOff>
                  </from>
                  <to>
                    <xdr:col>4</xdr:col>
                    <xdr:colOff>1504950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4"/>
  <sheetViews>
    <sheetView workbookViewId="0">
      <selection activeCell="G18" sqref="G18"/>
    </sheetView>
  </sheetViews>
  <sheetFormatPr defaultRowHeight="15" x14ac:dyDescent="0.25"/>
  <cols>
    <col min="1" max="1" width="6.42578125" customWidth="1"/>
    <col min="2" max="2" width="9.28515625" style="2"/>
    <col min="3" max="3" width="13.7109375" customWidth="1"/>
    <col min="4" max="4" width="19.5703125" customWidth="1"/>
    <col min="5" max="5" width="12.7109375" customWidth="1"/>
    <col min="6" max="6" width="12.5703125" customWidth="1"/>
    <col min="7" max="7" width="18.28515625" customWidth="1"/>
    <col min="8" max="8" width="15" customWidth="1"/>
    <col min="9" max="11" width="13.7109375" customWidth="1"/>
    <col min="12" max="12" width="16" customWidth="1"/>
    <col min="13" max="13" width="11.7109375" customWidth="1"/>
    <col min="14" max="14" width="15.28515625" customWidth="1"/>
    <col min="15" max="15" width="14.28515625" customWidth="1"/>
    <col min="16" max="16" width="31.42578125" customWidth="1"/>
    <col min="17" max="17" width="19.5703125" customWidth="1"/>
    <col min="18" max="18" width="19.7109375" customWidth="1"/>
    <col min="19" max="19" width="25" customWidth="1"/>
    <col min="20" max="20" width="9.28515625" style="2"/>
    <col min="21" max="21" width="16.28515625" customWidth="1"/>
    <col min="22" max="22" width="17.28515625" customWidth="1"/>
    <col min="23" max="23" width="17.7109375" customWidth="1"/>
    <col min="24" max="24" width="13.7109375" customWidth="1"/>
  </cols>
  <sheetData>
    <row r="2" spans="1:24" s="14" customFormat="1" ht="24" x14ac:dyDescent="0.25">
      <c r="A2" s="14" t="s">
        <v>53</v>
      </c>
      <c r="B2" s="50" t="s">
        <v>116</v>
      </c>
      <c r="C2" s="51" t="s">
        <v>34</v>
      </c>
      <c r="D2" s="52" t="s">
        <v>117</v>
      </c>
      <c r="E2" s="52" t="s">
        <v>141</v>
      </c>
      <c r="F2" s="52" t="s">
        <v>118</v>
      </c>
      <c r="G2" s="52" t="s">
        <v>119</v>
      </c>
      <c r="H2" s="52" t="s">
        <v>124</v>
      </c>
      <c r="I2" s="52" t="s">
        <v>129</v>
      </c>
      <c r="J2" s="52" t="s">
        <v>130</v>
      </c>
      <c r="K2" s="52" t="s">
        <v>131</v>
      </c>
      <c r="L2" s="52" t="s">
        <v>136</v>
      </c>
      <c r="M2" s="53" t="s">
        <v>35</v>
      </c>
      <c r="N2" s="53" t="s">
        <v>120</v>
      </c>
      <c r="O2" s="53" t="s">
        <v>121</v>
      </c>
      <c r="P2" s="52" t="s">
        <v>122</v>
      </c>
      <c r="Q2" s="52" t="s">
        <v>123</v>
      </c>
      <c r="R2" s="52" t="s">
        <v>125</v>
      </c>
      <c r="S2" s="52" t="s">
        <v>17</v>
      </c>
      <c r="T2" s="50" t="s">
        <v>25</v>
      </c>
      <c r="U2" s="52" t="s">
        <v>13</v>
      </c>
      <c r="V2" s="52" t="s">
        <v>16</v>
      </c>
      <c r="W2" s="52" t="s">
        <v>15</v>
      </c>
      <c r="X2" s="52" t="s">
        <v>137</v>
      </c>
    </row>
    <row r="3" spans="1:24" s="14" customFormat="1" ht="12" x14ac:dyDescent="0.25">
      <c r="B3" s="47" t="str">
        <f>IF(ISNA(VLOOKUP(B2,#REF!,1,0)),"not used in Cameleon","")</f>
        <v/>
      </c>
      <c r="C3" s="43" t="str">
        <f>IF(ISNA(VLOOKUP(C2,#REF!,1,0)),"not used in Cameleon","")</f>
        <v/>
      </c>
      <c r="D3" s="43" t="str">
        <f>IF(ISNA(VLOOKUP(D2,#REF!,1,0)),"not used in Cameleon","")</f>
        <v/>
      </c>
      <c r="E3" s="43"/>
      <c r="F3" s="43" t="str">
        <f>IF(ISNA(VLOOKUP(F2,#REF!,1,0)),"not used in Cameleon","")</f>
        <v/>
      </c>
      <c r="G3" s="43" t="str">
        <f>IF(ISNA(VLOOKUP(G2,#REF!,1,0)),"not used in Cameleon","")</f>
        <v/>
      </c>
      <c r="H3" s="43" t="str">
        <f>IF(ISNA(VLOOKUP(H2,#REF!,1,0)),"not used in Cameleon","")</f>
        <v/>
      </c>
      <c r="I3" s="43" t="str">
        <f>IF(ISNA(VLOOKUP(I2,#REF!,1,0)),"not used in Cameleon","")</f>
        <v/>
      </c>
      <c r="J3" s="43" t="str">
        <f>IF(ISNA(VLOOKUP(J2,#REF!,1,0)),"not used in Cameleon","")</f>
        <v/>
      </c>
      <c r="K3" s="43" t="str">
        <f>IF(ISNA(VLOOKUP(K2,#REF!,1,0)),"not used in Cameleon","")</f>
        <v/>
      </c>
      <c r="L3" s="43" t="str">
        <f>IF(ISNA(VLOOKUP(L2,#REF!,1,0)),"not used in Cameleon","")</f>
        <v/>
      </c>
      <c r="M3" s="43" t="str">
        <f>IF(ISNA(VLOOKUP(M2,#REF!,1,0)),"not used in Cameleon","")</f>
        <v/>
      </c>
      <c r="N3" s="43"/>
      <c r="O3" s="43"/>
      <c r="P3" s="43" t="str">
        <f>IF(ISNA(VLOOKUP(P2,#REF!,1,0)),"not used in Cameleon","")</f>
        <v/>
      </c>
      <c r="Q3" s="43" t="str">
        <f>IF(ISNA(VLOOKUP(Q2,#REF!,1,0)),"not used in Cameleon","")</f>
        <v/>
      </c>
      <c r="R3" s="43" t="str">
        <f>IF(ISNA(VLOOKUP(R2,#REF!,1,0)),"not used in Cameleon","")</f>
        <v/>
      </c>
      <c r="S3" s="43" t="str">
        <f>IF(ISNA(VLOOKUP(S2,#REF!,1,0)),"not used in Cameleon","")</f>
        <v/>
      </c>
      <c r="T3" s="47" t="str">
        <f>IF(ISNA(VLOOKUP(T2,#REF!,1,0)),"not used in Cameleon","")</f>
        <v/>
      </c>
      <c r="U3" s="43" t="str">
        <f>IF(ISNA(VLOOKUP(U2,#REF!,1,0)),"not used in Cameleon","")</f>
        <v/>
      </c>
      <c r="V3" s="43" t="str">
        <f>IF(ISNA(VLOOKUP(V2,#REF!,1,0)),"not used in Cameleon","")</f>
        <v/>
      </c>
      <c r="W3" s="43" t="str">
        <f>IF(ISNA(VLOOKUP(W2,#REF!,1,0)),"not used in Cameleon","")</f>
        <v/>
      </c>
      <c r="X3" s="43" t="str">
        <f>IF(ISNA(VLOOKUP(X2,#REF!,1,0)),"not used in Cameleon","")</f>
        <v/>
      </c>
    </row>
    <row r="4" spans="1:24" s="14" customFormat="1" ht="12" x14ac:dyDescent="0.25">
      <c r="B4" s="46"/>
      <c r="C4" s="17"/>
      <c r="M4" s="16"/>
      <c r="N4" s="16"/>
      <c r="O4" s="16"/>
      <c r="T4" s="46"/>
    </row>
    <row r="5" spans="1:24" s="1" customFormat="1" ht="30" x14ac:dyDescent="0.25">
      <c r="B5" s="36" t="s">
        <v>24</v>
      </c>
      <c r="C5" s="11" t="s">
        <v>0</v>
      </c>
      <c r="D5" s="1" t="s">
        <v>20</v>
      </c>
      <c r="E5" s="1" t="s">
        <v>115</v>
      </c>
      <c r="F5" s="1" t="s">
        <v>1</v>
      </c>
      <c r="G5" s="1" t="s">
        <v>59</v>
      </c>
      <c r="H5" s="11" t="s">
        <v>64</v>
      </c>
      <c r="I5" s="1" t="s">
        <v>89</v>
      </c>
      <c r="J5" s="1" t="s">
        <v>90</v>
      </c>
      <c r="K5" s="1" t="s">
        <v>126</v>
      </c>
      <c r="L5" s="1" t="s">
        <v>133</v>
      </c>
      <c r="M5" s="1" t="s">
        <v>2</v>
      </c>
      <c r="N5" s="1" t="s">
        <v>85</v>
      </c>
      <c r="O5" s="1" t="s">
        <v>88</v>
      </c>
      <c r="P5" s="1" t="s">
        <v>58</v>
      </c>
      <c r="Q5" s="1" t="s">
        <v>57</v>
      </c>
      <c r="R5" s="1" t="s">
        <v>70</v>
      </c>
      <c r="S5" s="1" t="s">
        <v>8</v>
      </c>
      <c r="T5" s="36" t="s">
        <v>43</v>
      </c>
      <c r="U5" s="11" t="s">
        <v>33</v>
      </c>
      <c r="V5" s="1" t="s">
        <v>21</v>
      </c>
      <c r="W5" s="1" t="s">
        <v>10</v>
      </c>
      <c r="X5" s="1" t="s">
        <v>60</v>
      </c>
    </row>
    <row r="6" spans="1:24" s="75" customFormat="1" ht="12" x14ac:dyDescent="0.25">
      <c r="B6" s="76"/>
      <c r="F6" s="75" t="s">
        <v>44</v>
      </c>
      <c r="G6" s="75" t="s">
        <v>44</v>
      </c>
      <c r="N6" s="75" t="s">
        <v>44</v>
      </c>
      <c r="O6" s="75" t="s">
        <v>44</v>
      </c>
      <c r="P6" s="75" t="s">
        <v>44</v>
      </c>
      <c r="Q6" s="75" t="s">
        <v>44</v>
      </c>
      <c r="R6" s="75" t="s">
        <v>44</v>
      </c>
      <c r="T6" s="76"/>
    </row>
    <row r="7" spans="1:24" x14ac:dyDescent="0.25">
      <c r="B7" s="48" t="s">
        <v>75</v>
      </c>
      <c r="C7" s="8" t="s">
        <v>71</v>
      </c>
      <c r="D7" s="6" t="s">
        <v>76</v>
      </c>
      <c r="E7" s="6" t="s">
        <v>82</v>
      </c>
      <c r="F7" s="34" t="str">
        <f>'T Act'!I4</f>
        <v>Ø360</v>
      </c>
      <c r="G7" s="34" t="e">
        <f>'T Springs'!AL3</f>
        <v>#VALUE!</v>
      </c>
      <c r="H7" s="8" t="s">
        <v>40</v>
      </c>
      <c r="I7" s="8" t="s">
        <v>40</v>
      </c>
      <c r="J7" s="8" t="s">
        <v>40</v>
      </c>
      <c r="K7" s="8" t="s">
        <v>127</v>
      </c>
      <c r="L7" s="8" t="s">
        <v>132</v>
      </c>
      <c r="M7" s="7" t="s">
        <v>36</v>
      </c>
      <c r="N7" s="37" t="str">
        <f>IF(s_ssv_type=1,"","OPSO/UPSO")</f>
        <v>OPSO/UPSO</v>
      </c>
      <c r="O7" s="37" t="str">
        <f>IF(s_ssv_type=1,"","Ø150")</f>
        <v>Ø150</v>
      </c>
      <c r="P7" s="37" t="str">
        <f>'T Springs'!AL11</f>
        <v>28 to 65 mbar</v>
      </c>
      <c r="Q7" s="37" t="str">
        <f>'T Springs'!AL24</f>
        <v>5 to 18 mbar</v>
      </c>
      <c r="R7" s="37" t="str">
        <f>IF(s_ssv_type=4,"without (std)","")</f>
        <v>without (std)</v>
      </c>
      <c r="S7" s="6" t="s">
        <v>39</v>
      </c>
      <c r="T7" s="48">
        <v>5</v>
      </c>
      <c r="U7" s="8" t="s">
        <v>40</v>
      </c>
      <c r="V7" s="8" t="s">
        <v>40</v>
      </c>
      <c r="W7" s="8" t="s">
        <v>40</v>
      </c>
      <c r="X7" s="8" t="s">
        <v>62</v>
      </c>
    </row>
    <row r="8" spans="1:24" x14ac:dyDescent="0.25">
      <c r="C8" s="8" t="s">
        <v>113</v>
      </c>
      <c r="D8" s="6" t="s">
        <v>77</v>
      </c>
      <c r="E8" s="6" t="s">
        <v>83</v>
      </c>
      <c r="F8" s="34">
        <f>'T Act'!I5</f>
        <v>0</v>
      </c>
      <c r="G8" s="34" t="e">
        <f>'T Springs'!AL4</f>
        <v>#VALUE!</v>
      </c>
      <c r="H8" s="8" t="s">
        <v>23</v>
      </c>
      <c r="I8" s="8" t="s">
        <v>23</v>
      </c>
      <c r="J8" s="8" t="s">
        <v>23</v>
      </c>
      <c r="K8" s="8" t="s">
        <v>128</v>
      </c>
      <c r="L8" s="8" t="s">
        <v>134</v>
      </c>
      <c r="M8" s="7" t="s">
        <v>86</v>
      </c>
      <c r="N8" s="37" t="str">
        <f>IF(s_ssv_type=1,"","OPSO")</f>
        <v>OPSO</v>
      </c>
      <c r="O8" s="37" t="str">
        <f>IF(s_ssv_type=1,"","Ø90")</f>
        <v>Ø90</v>
      </c>
      <c r="P8" s="37" t="str">
        <f>'T Springs'!AL12</f>
        <v>45 to 100 mbar</v>
      </c>
      <c r="Q8" s="37" t="str">
        <f>'T Springs'!AL25</f>
        <v>10 to 55 mbar</v>
      </c>
      <c r="R8" s="37" t="str">
        <f>IF(s_ssv_type=4,"Reed contact","")</f>
        <v>Reed contact</v>
      </c>
      <c r="S8" s="8" t="s">
        <v>9</v>
      </c>
      <c r="T8" s="48">
        <v>16</v>
      </c>
      <c r="U8" s="8" t="s">
        <v>23</v>
      </c>
      <c r="V8" s="8" t="s">
        <v>22</v>
      </c>
      <c r="W8" s="7" t="s">
        <v>11</v>
      </c>
      <c r="X8" s="7" t="s">
        <v>61</v>
      </c>
    </row>
    <row r="9" spans="1:24" x14ac:dyDescent="0.25">
      <c r="C9" s="5" t="s">
        <v>114</v>
      </c>
      <c r="D9" s="6" t="s">
        <v>78</v>
      </c>
      <c r="E9" s="6" t="s">
        <v>84</v>
      </c>
      <c r="F9" s="33"/>
      <c r="G9" s="34" t="e">
        <f>'T Springs'!AL5</f>
        <v>#VALUE!</v>
      </c>
      <c r="H9" s="33"/>
      <c r="L9" s="8" t="s">
        <v>135</v>
      </c>
      <c r="M9" s="7" t="s">
        <v>140</v>
      </c>
      <c r="N9" s="33"/>
      <c r="O9" s="37" t="str">
        <f>IF(s_ssv_type=1,"","Ø90/TR")</f>
        <v>Ø90/TR</v>
      </c>
      <c r="P9" s="37" t="str">
        <f>'T Springs'!AL13</f>
        <v>80 to 140 mbar</v>
      </c>
      <c r="Q9" s="37" t="str">
        <f>'T Springs'!AL26</f>
        <v>30 to 75 mbar</v>
      </c>
      <c r="R9" s="37" t="str">
        <f>IF(s_ssv_type=4,"Proximity switch","")</f>
        <v>Proximity switch</v>
      </c>
      <c r="S9" s="6" t="s">
        <v>50</v>
      </c>
      <c r="T9" s="48">
        <v>19.2</v>
      </c>
      <c r="U9" s="33"/>
      <c r="V9" s="8" t="s">
        <v>40</v>
      </c>
      <c r="W9" s="7" t="s">
        <v>12</v>
      </c>
    </row>
    <row r="10" spans="1:24" x14ac:dyDescent="0.25">
      <c r="D10" s="6" t="s">
        <v>81</v>
      </c>
      <c r="E10" s="33"/>
      <c r="F10" s="33"/>
      <c r="G10" s="34" t="e">
        <f>'T Springs'!AL6</f>
        <v>#VALUE!</v>
      </c>
      <c r="H10" s="33"/>
      <c r="M10" s="7" t="s">
        <v>87</v>
      </c>
      <c r="N10" s="33"/>
      <c r="O10" s="33"/>
      <c r="P10" s="37" t="str">
        <f>'T Springs'!AL14</f>
        <v>100 to 240 mbar</v>
      </c>
      <c r="Q10" s="37" t="str">
        <f>'T Springs'!AL27</f>
        <v>60 to 150 mbar</v>
      </c>
      <c r="S10" s="33"/>
      <c r="T10" s="48">
        <v>25</v>
      </c>
      <c r="U10" s="33"/>
      <c r="V10" s="33"/>
      <c r="W10" s="33"/>
    </row>
    <row r="11" spans="1:24" x14ac:dyDescent="0.25">
      <c r="D11" s="6" t="s">
        <v>79</v>
      </c>
      <c r="E11" s="33"/>
      <c r="F11" s="33"/>
      <c r="G11" s="34" t="e">
        <f>'T Springs'!AL7</f>
        <v>#VALUE!</v>
      </c>
      <c r="H11" s="33"/>
      <c r="M11" s="33"/>
      <c r="O11" s="33"/>
      <c r="P11" s="37" t="str">
        <f>'T Springs'!AL15</f>
        <v>190 to 350 mbar</v>
      </c>
      <c r="Q11" s="37" t="str">
        <f>'T Springs'!AL28</f>
        <v>100 to 250 mbar</v>
      </c>
      <c r="S11" s="33"/>
      <c r="T11" s="65"/>
      <c r="U11" s="33"/>
      <c r="V11" s="33"/>
      <c r="W11" s="33"/>
    </row>
    <row r="12" spans="1:24" x14ac:dyDescent="0.25">
      <c r="D12" s="6" t="s">
        <v>80</v>
      </c>
      <c r="E12" s="33"/>
      <c r="F12" s="33"/>
      <c r="G12" s="33"/>
      <c r="H12" s="33"/>
      <c r="M12" s="33"/>
      <c r="N12" s="33"/>
      <c r="O12" s="33"/>
      <c r="P12" s="37" t="str">
        <f>'T Springs'!AL16</f>
        <v>350 to 700 mbar</v>
      </c>
      <c r="Q12" s="33"/>
      <c r="S12" s="33"/>
      <c r="T12" s="65"/>
      <c r="U12" s="33"/>
      <c r="V12" s="33"/>
      <c r="W12" s="33"/>
    </row>
    <row r="13" spans="1:24" x14ac:dyDescent="0.25">
      <c r="D13" s="33"/>
      <c r="E13" s="33"/>
      <c r="F13" s="33"/>
      <c r="G13" s="33"/>
      <c r="H13" s="33"/>
      <c r="M13" s="33"/>
      <c r="N13" s="33"/>
      <c r="O13" s="33"/>
      <c r="P13" s="37" t="str">
        <f>'T Springs'!AL17</f>
        <v>450 to 800 mbar</v>
      </c>
      <c r="Q13" s="33"/>
      <c r="S13" s="33"/>
      <c r="T13" s="65"/>
      <c r="U13" s="33"/>
      <c r="V13" s="33"/>
      <c r="W13" s="33"/>
    </row>
    <row r="14" spans="1:24" x14ac:dyDescent="0.25">
      <c r="D14" s="33"/>
      <c r="E14" s="33"/>
      <c r="F14" s="33"/>
      <c r="G14" s="33"/>
      <c r="H14" s="33"/>
      <c r="M14" s="33"/>
      <c r="N14" s="33"/>
      <c r="O14" s="33"/>
      <c r="P14" s="37" t="str">
        <f>'T Springs'!AL18</f>
        <v>600 to 1000 mbar</v>
      </c>
      <c r="Q14" s="33"/>
      <c r="S14" s="33"/>
      <c r="T14" s="65"/>
      <c r="U14" s="33"/>
      <c r="V14" s="33"/>
      <c r="W14" s="33"/>
    </row>
    <row r="15" spans="1:24" x14ac:dyDescent="0.25">
      <c r="D15" s="33"/>
      <c r="E15" s="33"/>
      <c r="F15" s="33"/>
      <c r="G15" s="33"/>
      <c r="H15" s="33"/>
      <c r="M15" s="33"/>
      <c r="N15" s="67"/>
      <c r="O15" s="33"/>
      <c r="P15" s="37" t="str">
        <f>'T Springs'!AL19</f>
        <v>950 to 1300 mbar</v>
      </c>
      <c r="Q15" s="33"/>
      <c r="S15" s="33"/>
      <c r="T15" s="65"/>
      <c r="U15" s="33"/>
      <c r="V15" s="33"/>
      <c r="W15" s="33"/>
    </row>
    <row r="16" spans="1:24" x14ac:dyDescent="0.25">
      <c r="D16" s="33"/>
      <c r="E16" s="33"/>
      <c r="F16" s="33"/>
      <c r="G16" s="33"/>
      <c r="H16" s="33"/>
      <c r="M16" s="33"/>
      <c r="N16" s="33"/>
      <c r="O16" s="33"/>
      <c r="P16" s="33"/>
      <c r="Q16" s="33"/>
      <c r="S16" s="33"/>
      <c r="T16" s="65"/>
      <c r="U16" s="33"/>
      <c r="V16" s="33"/>
      <c r="W16" s="33"/>
    </row>
    <row r="17" spans="4:23" x14ac:dyDescent="0.25">
      <c r="D17" s="33"/>
      <c r="E17" s="33"/>
      <c r="F17" s="33"/>
      <c r="G17" s="33"/>
      <c r="H17" s="33"/>
      <c r="M17" s="33"/>
      <c r="N17" s="33"/>
      <c r="O17" s="33"/>
      <c r="P17" s="33"/>
      <c r="Q17" s="33"/>
      <c r="S17" s="33"/>
      <c r="T17" s="65"/>
      <c r="U17" s="33"/>
      <c r="V17" s="33"/>
      <c r="W17" s="33"/>
    </row>
    <row r="18" spans="4:23" x14ac:dyDescent="0.25">
      <c r="D18" s="33"/>
      <c r="E18" s="33"/>
      <c r="F18" s="33"/>
      <c r="G18" s="33"/>
      <c r="H18" s="33"/>
      <c r="M18" s="33"/>
      <c r="N18" s="33"/>
      <c r="O18" s="33"/>
      <c r="P18" s="33"/>
      <c r="Q18" s="33"/>
      <c r="S18" s="33"/>
      <c r="T18" s="65"/>
      <c r="U18" s="33"/>
      <c r="V18" s="33"/>
      <c r="W18" s="33"/>
    </row>
    <row r="19" spans="4:23" x14ac:dyDescent="0.25">
      <c r="D19" s="33"/>
      <c r="E19" s="33"/>
      <c r="F19" s="33"/>
      <c r="G19" s="33"/>
      <c r="H19" s="33"/>
      <c r="M19" s="33"/>
      <c r="N19" s="33"/>
      <c r="O19" s="33"/>
      <c r="P19" s="33"/>
      <c r="Q19" s="33"/>
      <c r="S19" s="33"/>
      <c r="T19" s="65"/>
      <c r="U19" s="33"/>
      <c r="V19" s="33"/>
      <c r="W19" s="33"/>
    </row>
    <row r="20" spans="4:23" x14ac:dyDescent="0.25">
      <c r="D20" s="33"/>
      <c r="E20" s="33"/>
      <c r="F20" s="33"/>
      <c r="G20" s="33"/>
      <c r="H20" s="33"/>
      <c r="M20" s="33"/>
      <c r="N20" s="33"/>
      <c r="O20" s="33"/>
      <c r="P20" s="33"/>
      <c r="Q20" s="33"/>
      <c r="S20" s="33"/>
      <c r="T20" s="65"/>
      <c r="U20" s="33"/>
      <c r="V20" s="33"/>
      <c r="W20" s="33"/>
    </row>
    <row r="21" spans="4:23" x14ac:dyDescent="0.25">
      <c r="D21" s="33"/>
      <c r="E21" s="33"/>
      <c r="T21" s="65"/>
    </row>
    <row r="22" spans="4:23" x14ac:dyDescent="0.25">
      <c r="D22" s="33"/>
      <c r="E22" s="33"/>
    </row>
    <row r="23" spans="4:23" x14ac:dyDescent="0.25">
      <c r="D23" s="33"/>
      <c r="E23" s="33"/>
    </row>
    <row r="24" spans="4:23" x14ac:dyDescent="0.25">
      <c r="D24" s="33"/>
      <c r="E24" s="3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workbookViewId="0">
      <selection activeCell="K20" sqref="K20"/>
    </sheetView>
  </sheetViews>
  <sheetFormatPr defaultColWidth="9.28515625" defaultRowHeight="15" x14ac:dyDescent="0.25"/>
  <cols>
    <col min="1" max="1" width="9.28515625" style="28"/>
    <col min="2" max="2" width="21" style="13" customWidth="1"/>
    <col min="3" max="3" width="11.42578125" style="9" customWidth="1"/>
    <col min="4" max="4" width="11.42578125" style="10" customWidth="1"/>
    <col min="5" max="5" width="11.42578125" style="9" customWidth="1"/>
    <col min="6" max="6" width="11.42578125" style="27" customWidth="1"/>
    <col min="7" max="8" width="11.42578125" style="9" customWidth="1"/>
    <col min="9" max="10" width="12.28515625" style="9" customWidth="1"/>
    <col min="11" max="11" width="14.28515625" style="27" customWidth="1"/>
    <col min="12" max="16384" width="9.28515625" style="9"/>
  </cols>
  <sheetData>
    <row r="1" spans="1:14" x14ac:dyDescent="0.25">
      <c r="C1" s="10"/>
      <c r="G1" s="3"/>
      <c r="H1" s="27"/>
      <c r="I1" s="27"/>
      <c r="J1" s="27"/>
    </row>
    <row r="2" spans="1:14" ht="15.75" x14ac:dyDescent="0.25">
      <c r="C2" s="81" t="s">
        <v>63</v>
      </c>
      <c r="D2" s="81"/>
      <c r="E2" s="81"/>
      <c r="F2" s="81"/>
      <c r="G2" s="81"/>
      <c r="H2" s="81"/>
      <c r="I2" s="4" t="s">
        <v>37</v>
      </c>
      <c r="J2" s="3"/>
      <c r="L2" s="27"/>
      <c r="M2" s="27"/>
      <c r="N2" s="27"/>
    </row>
    <row r="3" spans="1:14" s="1" customFormat="1" ht="30" x14ac:dyDescent="0.25">
      <c r="A3" s="54"/>
      <c r="B3" s="13"/>
      <c r="C3" s="60" t="s">
        <v>76</v>
      </c>
      <c r="D3" s="60" t="s">
        <v>77</v>
      </c>
      <c r="E3" s="60" t="s">
        <v>78</v>
      </c>
      <c r="F3" s="60" t="s">
        <v>81</v>
      </c>
      <c r="G3" s="60" t="s">
        <v>79</v>
      </c>
      <c r="H3" s="60" t="s">
        <v>80</v>
      </c>
      <c r="I3" s="55">
        <f>s_size</f>
        <v>1</v>
      </c>
      <c r="J3" s="13"/>
      <c r="K3" s="36"/>
      <c r="L3" s="36"/>
      <c r="M3" s="36"/>
      <c r="N3" s="36"/>
    </row>
    <row r="4" spans="1:14" s="15" customFormat="1" x14ac:dyDescent="0.25">
      <c r="A4" s="29"/>
      <c r="B4" s="13"/>
      <c r="C4" s="61" t="s">
        <v>91</v>
      </c>
      <c r="D4" s="61" t="s">
        <v>91</v>
      </c>
      <c r="E4" s="61" t="s">
        <v>91</v>
      </c>
      <c r="F4" s="61" t="s">
        <v>91</v>
      </c>
      <c r="G4" s="61" t="s">
        <v>91</v>
      </c>
      <c r="H4" s="61" t="s">
        <v>91</v>
      </c>
      <c r="I4" s="35" t="str">
        <f>INDEX(C4:H4,1,I$3)</f>
        <v>Ø360</v>
      </c>
      <c r="J4" s="3"/>
      <c r="K4" s="27"/>
      <c r="L4" s="27"/>
      <c r="M4" s="27"/>
      <c r="N4" s="27"/>
    </row>
    <row r="5" spans="1:14" x14ac:dyDescent="0.25">
      <c r="C5" s="61"/>
      <c r="D5" s="61" t="s">
        <v>92</v>
      </c>
      <c r="E5" s="61" t="s">
        <v>92</v>
      </c>
      <c r="F5" s="61" t="s">
        <v>92</v>
      </c>
      <c r="G5" s="61" t="s">
        <v>92</v>
      </c>
      <c r="H5" s="61" t="s">
        <v>92</v>
      </c>
      <c r="I5" s="35">
        <f>INDEX(C5:H5,1,I$3)</f>
        <v>0</v>
      </c>
      <c r="J5" s="3"/>
      <c r="L5" s="27"/>
      <c r="M5" s="27"/>
      <c r="N5" s="27"/>
    </row>
    <row r="6" spans="1:14" x14ac:dyDescent="0.25">
      <c r="C6" s="10"/>
      <c r="F6" s="9"/>
      <c r="H6" s="27"/>
      <c r="I6" s="27"/>
      <c r="J6" s="27"/>
    </row>
    <row r="7" spans="1:14" x14ac:dyDescent="0.25">
      <c r="C7" s="10"/>
      <c r="G7" s="3"/>
      <c r="H7" s="27"/>
      <c r="I7" s="27"/>
      <c r="J7" s="27"/>
    </row>
    <row r="8" spans="1:14" ht="15.75" x14ac:dyDescent="0.25">
      <c r="C8" s="81" t="s">
        <v>66</v>
      </c>
      <c r="D8" s="81"/>
      <c r="E8" s="81"/>
      <c r="F8" s="81"/>
      <c r="G8" s="81"/>
      <c r="H8" s="81"/>
      <c r="I8" s="27"/>
      <c r="J8" s="27"/>
    </row>
    <row r="9" spans="1:14" ht="30" x14ac:dyDescent="0.25">
      <c r="B9" s="71">
        <f>INDEX(C10:H11,B12,I9)</f>
        <v>0</v>
      </c>
      <c r="C9" s="60" t="s">
        <v>76</v>
      </c>
      <c r="D9" s="60" t="s">
        <v>77</v>
      </c>
      <c r="E9" s="60" t="s">
        <v>78</v>
      </c>
      <c r="F9" s="60" t="s">
        <v>81</v>
      </c>
      <c r="G9" s="60" t="s">
        <v>79</v>
      </c>
      <c r="H9" s="60" t="s">
        <v>80</v>
      </c>
      <c r="I9" s="55">
        <f>s_size</f>
        <v>1</v>
      </c>
      <c r="J9" s="3"/>
      <c r="L9" s="27"/>
      <c r="M9" s="27"/>
      <c r="N9" s="27"/>
    </row>
    <row r="10" spans="1:14" x14ac:dyDescent="0.25">
      <c r="B10" s="72" t="s">
        <v>93</v>
      </c>
      <c r="C10" s="56" t="s">
        <v>4</v>
      </c>
      <c r="D10" s="56" t="s">
        <v>5</v>
      </c>
      <c r="E10" s="56" t="s">
        <v>5</v>
      </c>
      <c r="F10" s="56" t="s">
        <v>5</v>
      </c>
      <c r="G10" s="56" t="s">
        <v>6</v>
      </c>
      <c r="H10" s="56" t="s">
        <v>6</v>
      </c>
      <c r="I10" s="27"/>
      <c r="J10" s="3"/>
      <c r="K10" s="9"/>
      <c r="N10" s="27"/>
    </row>
    <row r="11" spans="1:14" x14ac:dyDescent="0.25">
      <c r="B11" s="72" t="s">
        <v>94</v>
      </c>
      <c r="C11" s="56"/>
      <c r="D11" s="56" t="s">
        <v>7</v>
      </c>
      <c r="E11" s="56" t="s">
        <v>7</v>
      </c>
      <c r="F11" s="56" t="s">
        <v>7</v>
      </c>
      <c r="G11" s="56" t="s">
        <v>7</v>
      </c>
      <c r="H11" s="56" t="s">
        <v>7</v>
      </c>
      <c r="I11" s="27"/>
      <c r="J11" s="3"/>
      <c r="K11" s="9"/>
      <c r="N11" s="27"/>
    </row>
    <row r="12" spans="1:14" x14ac:dyDescent="0.25">
      <c r="B12" s="73">
        <f>s_act</f>
        <v>2</v>
      </c>
      <c r="C12" s="28"/>
      <c r="D12" s="28"/>
      <c r="E12" s="28"/>
      <c r="F12" s="28"/>
      <c r="G12" s="3"/>
    </row>
    <row r="13" spans="1:14" x14ac:dyDescent="0.25">
      <c r="G13" s="3"/>
    </row>
    <row r="14" spans="1:14" ht="15.75" x14ac:dyDescent="0.25">
      <c r="C14" s="81" t="s">
        <v>104</v>
      </c>
      <c r="D14" s="81"/>
      <c r="E14" s="81"/>
      <c r="G14" s="27"/>
      <c r="H14" s="27"/>
      <c r="K14" s="9"/>
    </row>
    <row r="15" spans="1:14" x14ac:dyDescent="0.25">
      <c r="B15" s="71" t="str">
        <f>INDEX(C16:E19,B20,F15)</f>
        <v>5</v>
      </c>
      <c r="C15" s="59" t="s">
        <v>101</v>
      </c>
      <c r="D15" s="59" t="s">
        <v>102</v>
      </c>
      <c r="E15" s="59" t="s">
        <v>103</v>
      </c>
      <c r="F15" s="55">
        <f>TDS!M28</f>
        <v>1</v>
      </c>
      <c r="G15" s="3"/>
      <c r="H15" s="27"/>
      <c r="I15" s="27"/>
      <c r="J15" s="27"/>
    </row>
    <row r="16" spans="1:14" x14ac:dyDescent="0.25">
      <c r="B16" s="72" t="s">
        <v>36</v>
      </c>
      <c r="C16" s="56" t="s">
        <v>4</v>
      </c>
      <c r="D16" s="56" t="s">
        <v>4</v>
      </c>
      <c r="E16" s="56" t="s">
        <v>4</v>
      </c>
      <c r="G16" s="3"/>
    </row>
    <row r="17" spans="2:7" x14ac:dyDescent="0.25">
      <c r="B17" s="72" t="s">
        <v>86</v>
      </c>
      <c r="C17" s="56" t="s">
        <v>5</v>
      </c>
      <c r="D17" s="56" t="s">
        <v>6</v>
      </c>
      <c r="E17" s="56" t="s">
        <v>7</v>
      </c>
      <c r="G17" s="3"/>
    </row>
    <row r="18" spans="2:7" x14ac:dyDescent="0.25">
      <c r="B18" s="72" t="s">
        <v>140</v>
      </c>
      <c r="C18" s="56" t="s">
        <v>5</v>
      </c>
      <c r="D18" s="56" t="s">
        <v>6</v>
      </c>
      <c r="E18" s="56" t="s">
        <v>7</v>
      </c>
      <c r="G18" s="3"/>
    </row>
    <row r="19" spans="2:7" x14ac:dyDescent="0.25">
      <c r="B19" s="72" t="s">
        <v>87</v>
      </c>
      <c r="C19" s="56" t="s">
        <v>95</v>
      </c>
      <c r="D19" s="56" t="s">
        <v>105</v>
      </c>
      <c r="E19" s="56" t="s">
        <v>106</v>
      </c>
      <c r="G19" s="3"/>
    </row>
    <row r="20" spans="2:7" x14ac:dyDescent="0.25">
      <c r="B20" s="73">
        <f>s_ssv_type</f>
        <v>4</v>
      </c>
      <c r="C20" s="28"/>
      <c r="D20" s="28"/>
      <c r="E20" s="28"/>
      <c r="F20" s="28"/>
      <c r="G20" s="3"/>
    </row>
    <row r="21" spans="2:7" x14ac:dyDescent="0.25">
      <c r="G21" s="3"/>
    </row>
    <row r="22" spans="2:7" x14ac:dyDescent="0.25">
      <c r="G22" s="3"/>
    </row>
    <row r="23" spans="2:7" x14ac:dyDescent="0.25">
      <c r="G23" s="3"/>
    </row>
  </sheetData>
  <mergeCells count="3">
    <mergeCell ref="C2:H2"/>
    <mergeCell ref="C8:H8"/>
    <mergeCell ref="C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6"/>
  <sheetViews>
    <sheetView topLeftCell="AA7" workbookViewId="0">
      <selection activeCell="K20" sqref="K20"/>
    </sheetView>
  </sheetViews>
  <sheetFormatPr defaultRowHeight="15" x14ac:dyDescent="0.25"/>
  <cols>
    <col min="1" max="1" width="9.28515625" style="30"/>
    <col min="2" max="2" width="13.7109375" style="57" customWidth="1"/>
    <col min="3" max="3" width="11.28515625" customWidth="1"/>
    <col min="4" max="4" width="6.28515625" style="2" customWidth="1"/>
    <col min="5" max="5" width="5.7109375" style="2" customWidth="1"/>
    <col min="6" max="6" width="10.28515625" customWidth="1"/>
    <col min="7" max="7" width="3.7109375" customWidth="1"/>
    <col min="8" max="8" width="11.28515625" customWidth="1"/>
    <col min="9" max="9" width="6.28515625" style="2" customWidth="1"/>
    <col min="10" max="10" width="5.7109375" style="2" customWidth="1"/>
    <col min="11" max="11" width="10.28515625" customWidth="1"/>
    <col min="12" max="12" width="3.7109375" customWidth="1"/>
    <col min="13" max="13" width="11.28515625" customWidth="1"/>
    <col min="14" max="14" width="6.28515625" style="2" customWidth="1"/>
    <col min="15" max="15" width="5.7109375" style="2" customWidth="1"/>
    <col min="16" max="16" width="10.28515625" customWidth="1"/>
    <col min="17" max="17" width="3.7109375" customWidth="1"/>
    <col min="18" max="18" width="11.28515625" customWidth="1"/>
    <col min="19" max="19" width="6.28515625" style="2" customWidth="1"/>
    <col min="20" max="20" width="5.7109375" style="2" customWidth="1"/>
    <col min="21" max="21" width="10.28515625" customWidth="1"/>
    <col min="22" max="22" width="3.7109375" customWidth="1"/>
    <col min="23" max="23" width="11.28515625" customWidth="1"/>
    <col min="24" max="24" width="6.28515625" style="2" customWidth="1"/>
    <col min="25" max="25" width="5.7109375" style="2" customWidth="1"/>
    <col min="26" max="26" width="10.28515625" customWidth="1"/>
    <col min="27" max="27" width="3.7109375" customWidth="1"/>
    <col min="28" max="28" width="11.28515625" customWidth="1"/>
    <col min="29" max="29" width="6.28515625" style="2" customWidth="1"/>
    <col min="30" max="30" width="5.7109375" style="2" customWidth="1"/>
    <col min="31" max="31" width="10.28515625" customWidth="1"/>
    <col min="32" max="32" width="3.7109375" customWidth="1"/>
    <col min="33" max="33" width="11.28515625" customWidth="1"/>
    <col min="34" max="34" width="6.28515625" style="2" customWidth="1"/>
    <col min="35" max="35" width="5.7109375" style="2" customWidth="1"/>
    <col min="36" max="36" width="10.28515625" customWidth="1"/>
    <col min="37" max="37" width="3.7109375" customWidth="1"/>
    <col min="38" max="38" width="19.28515625" style="2" customWidth="1"/>
    <col min="39" max="40" width="13" customWidth="1"/>
    <col min="42" max="42" width="12.28515625" style="58" customWidth="1"/>
  </cols>
  <sheetData>
    <row r="1" spans="2:47" x14ac:dyDescent="0.25">
      <c r="AL1" s="4" t="s">
        <v>37</v>
      </c>
    </row>
    <row r="2" spans="2:47" x14ac:dyDescent="0.25">
      <c r="C2" s="83" t="s">
        <v>96</v>
      </c>
      <c r="D2" s="84"/>
      <c r="E2" s="84"/>
      <c r="F2" s="84"/>
      <c r="H2" s="83" t="s">
        <v>97</v>
      </c>
      <c r="I2" s="84"/>
      <c r="J2" s="84"/>
      <c r="K2" s="84"/>
      <c r="M2" s="83" t="s">
        <v>98</v>
      </c>
      <c r="N2" s="84"/>
      <c r="O2" s="84"/>
      <c r="P2" s="84"/>
      <c r="R2" s="83" t="s">
        <v>99</v>
      </c>
      <c r="S2" s="84"/>
      <c r="T2" s="84"/>
      <c r="U2" s="84"/>
      <c r="W2" s="62"/>
      <c r="X2" s="62"/>
      <c r="Y2" s="62"/>
      <c r="Z2" s="62"/>
      <c r="AA2" s="63"/>
      <c r="AB2" s="62"/>
      <c r="AC2" s="62"/>
      <c r="AD2" s="62"/>
      <c r="AE2" s="62"/>
      <c r="AF2" s="63"/>
      <c r="AG2" s="62"/>
      <c r="AH2" s="62"/>
      <c r="AI2" s="62"/>
      <c r="AJ2" s="62"/>
      <c r="AL2" s="41">
        <f>ref_spring_tab</f>
        <v>0</v>
      </c>
      <c r="AP2" s="68"/>
      <c r="AQ2" s="69"/>
      <c r="AR2" s="11"/>
      <c r="AS2" s="11"/>
      <c r="AT2" s="11"/>
      <c r="AU2" s="11"/>
    </row>
    <row r="3" spans="2:47" x14ac:dyDescent="0.25">
      <c r="B3" s="12" t="s">
        <v>68</v>
      </c>
      <c r="C3" s="2">
        <v>20568481</v>
      </c>
      <c r="D3" s="2">
        <v>15</v>
      </c>
      <c r="E3" s="2">
        <v>40</v>
      </c>
      <c r="F3" t="s">
        <v>65</v>
      </c>
      <c r="H3" s="2">
        <v>20568483</v>
      </c>
      <c r="I3" s="2">
        <v>65</v>
      </c>
      <c r="J3" s="2">
        <v>140</v>
      </c>
      <c r="K3" t="s">
        <v>18</v>
      </c>
      <c r="M3" s="2">
        <v>20568484</v>
      </c>
      <c r="N3" s="2">
        <v>100</v>
      </c>
      <c r="O3" s="2">
        <v>210</v>
      </c>
      <c r="P3" t="s">
        <v>19</v>
      </c>
      <c r="R3" s="2">
        <v>20568482</v>
      </c>
      <c r="S3" s="2">
        <v>15</v>
      </c>
      <c r="T3" s="2">
        <v>35</v>
      </c>
      <c r="U3" t="s">
        <v>67</v>
      </c>
      <c r="W3" s="64"/>
      <c r="X3" s="64"/>
      <c r="Y3" s="64"/>
      <c r="Z3" s="63"/>
      <c r="AA3" s="63"/>
      <c r="AB3" s="64"/>
      <c r="AC3" s="64"/>
      <c r="AD3" s="64"/>
      <c r="AE3" s="63"/>
      <c r="AF3" s="63"/>
      <c r="AG3" s="64"/>
      <c r="AH3" s="64"/>
      <c r="AI3" s="64"/>
      <c r="AJ3" s="63"/>
      <c r="AL3" s="35" t="e">
        <f t="shared" ref="AL3:AL6" si="0">IF(AM3&gt;0,AM3&amp;" to "&amp;AN3&amp;" mbar","")</f>
        <v>#VALUE!</v>
      </c>
      <c r="AM3" s="35" t="e">
        <f t="shared" ref="AM3:AM6" si="1">CHOOSE($AL$2,D3,I3,N3,S3)</f>
        <v>#VALUE!</v>
      </c>
      <c r="AN3" s="35" t="e">
        <f t="shared" ref="AN3:AN6" si="2">CHOOSE($AL$2,E3,J3,O3,T3)</f>
        <v>#VALUE!</v>
      </c>
      <c r="AP3" s="68"/>
      <c r="AQ3" s="69"/>
      <c r="AR3" s="69"/>
      <c r="AS3" s="69"/>
      <c r="AT3" s="69"/>
      <c r="AU3" s="69"/>
    </row>
    <row r="4" spans="2:47" x14ac:dyDescent="0.25">
      <c r="B4" s="12" t="s">
        <v>68</v>
      </c>
      <c r="C4" s="2">
        <v>20568482</v>
      </c>
      <c r="D4" s="2">
        <v>30</v>
      </c>
      <c r="E4" s="2">
        <v>70</v>
      </c>
      <c r="F4" t="s">
        <v>67</v>
      </c>
      <c r="H4" s="2">
        <v>20568484</v>
      </c>
      <c r="I4" s="2">
        <v>100</v>
      </c>
      <c r="J4" s="2">
        <v>210</v>
      </c>
      <c r="K4" t="s">
        <v>19</v>
      </c>
      <c r="M4" s="2">
        <v>20568485</v>
      </c>
      <c r="N4" s="2">
        <v>200</v>
      </c>
      <c r="O4" s="2">
        <v>500</v>
      </c>
      <c r="P4" t="s">
        <v>100</v>
      </c>
      <c r="R4" s="2">
        <v>20568483</v>
      </c>
      <c r="S4" s="2">
        <v>30</v>
      </c>
      <c r="T4" s="2">
        <v>70</v>
      </c>
      <c r="U4" t="s">
        <v>18</v>
      </c>
      <c r="W4" s="64"/>
      <c r="X4" s="64"/>
      <c r="Y4" s="64"/>
      <c r="Z4" s="63"/>
      <c r="AA4" s="63"/>
      <c r="AB4" s="64"/>
      <c r="AC4" s="64"/>
      <c r="AD4" s="64"/>
      <c r="AE4" s="63"/>
      <c r="AF4" s="63"/>
      <c r="AG4" s="64"/>
      <c r="AH4" s="64"/>
      <c r="AI4" s="64"/>
      <c r="AJ4" s="63"/>
      <c r="AL4" s="35" t="e">
        <f t="shared" si="0"/>
        <v>#VALUE!</v>
      </c>
      <c r="AM4" s="35" t="e">
        <f t="shared" si="1"/>
        <v>#VALUE!</v>
      </c>
      <c r="AN4" s="35" t="e">
        <f t="shared" si="2"/>
        <v>#VALUE!</v>
      </c>
      <c r="AP4" s="68"/>
      <c r="AQ4" s="64"/>
      <c r="AR4" s="64"/>
      <c r="AS4" s="64"/>
      <c r="AT4" s="64"/>
      <c r="AU4" s="64"/>
    </row>
    <row r="5" spans="2:47" x14ac:dyDescent="0.25">
      <c r="B5" s="12" t="s">
        <v>68</v>
      </c>
      <c r="C5" s="2">
        <v>20568483</v>
      </c>
      <c r="D5" s="2">
        <v>65</v>
      </c>
      <c r="E5" s="2">
        <v>140</v>
      </c>
      <c r="F5" t="s">
        <v>18</v>
      </c>
      <c r="H5" s="2">
        <v>20568485</v>
      </c>
      <c r="I5" s="2">
        <v>200</v>
      </c>
      <c r="J5" s="2">
        <v>500</v>
      </c>
      <c r="K5" t="s">
        <v>100</v>
      </c>
      <c r="M5" s="2"/>
      <c r="R5" s="2">
        <v>20568484</v>
      </c>
      <c r="S5" s="2">
        <v>55</v>
      </c>
      <c r="T5" s="2">
        <v>100</v>
      </c>
      <c r="U5" t="s">
        <v>19</v>
      </c>
      <c r="W5" s="64"/>
      <c r="X5" s="64"/>
      <c r="Y5" s="64"/>
      <c r="Z5" s="63"/>
      <c r="AA5" s="63"/>
      <c r="AB5" s="64"/>
      <c r="AC5" s="64"/>
      <c r="AD5" s="64"/>
      <c r="AE5" s="63"/>
      <c r="AF5" s="63"/>
      <c r="AG5" s="64"/>
      <c r="AH5" s="64"/>
      <c r="AI5" s="64"/>
      <c r="AJ5" s="63"/>
      <c r="AL5" s="35" t="e">
        <f t="shared" si="0"/>
        <v>#VALUE!</v>
      </c>
      <c r="AM5" s="35" t="e">
        <f t="shared" si="1"/>
        <v>#VALUE!</v>
      </c>
      <c r="AN5" s="35" t="e">
        <f t="shared" si="2"/>
        <v>#VALUE!</v>
      </c>
      <c r="AP5" s="68"/>
      <c r="AQ5" s="64"/>
      <c r="AR5" s="64"/>
      <c r="AS5" s="64"/>
      <c r="AT5" s="64"/>
      <c r="AU5" s="64"/>
    </row>
    <row r="6" spans="2:47" x14ac:dyDescent="0.25">
      <c r="B6" s="12" t="s">
        <v>68</v>
      </c>
      <c r="C6" s="2">
        <v>20568484</v>
      </c>
      <c r="D6" s="2">
        <v>100</v>
      </c>
      <c r="E6" s="2">
        <v>210</v>
      </c>
      <c r="F6" t="s">
        <v>19</v>
      </c>
      <c r="R6" s="2">
        <v>20568485</v>
      </c>
      <c r="S6" s="2">
        <v>90</v>
      </c>
      <c r="T6" s="2">
        <v>250</v>
      </c>
      <c r="U6" t="s">
        <v>100</v>
      </c>
      <c r="W6" s="64"/>
      <c r="X6" s="64"/>
      <c r="Y6" s="64"/>
      <c r="Z6" s="63"/>
      <c r="AA6" s="63"/>
      <c r="AB6" s="64"/>
      <c r="AC6" s="64"/>
      <c r="AD6" s="64"/>
      <c r="AE6" s="63"/>
      <c r="AF6" s="63"/>
      <c r="AG6" s="64"/>
      <c r="AH6" s="64"/>
      <c r="AI6" s="64"/>
      <c r="AJ6" s="63"/>
      <c r="AL6" s="35" t="e">
        <f t="shared" si="0"/>
        <v>#VALUE!</v>
      </c>
      <c r="AM6" s="35" t="e">
        <f t="shared" si="1"/>
        <v>#VALUE!</v>
      </c>
      <c r="AN6" s="35" t="e">
        <f t="shared" si="2"/>
        <v>#VALUE!</v>
      </c>
      <c r="AP6" s="68"/>
      <c r="AQ6" s="64"/>
      <c r="AR6" s="64"/>
      <c r="AS6" s="64"/>
      <c r="AT6" s="64"/>
      <c r="AU6" s="64"/>
    </row>
    <row r="7" spans="2:47" x14ac:dyDescent="0.25">
      <c r="B7" s="12" t="s">
        <v>68</v>
      </c>
      <c r="C7" s="2">
        <v>20568485</v>
      </c>
      <c r="D7" s="2">
        <v>200</v>
      </c>
      <c r="E7" s="2">
        <v>500</v>
      </c>
      <c r="F7" t="s">
        <v>100</v>
      </c>
      <c r="W7" s="64"/>
      <c r="X7" s="64"/>
      <c r="Y7" s="64"/>
      <c r="Z7" s="63"/>
      <c r="AA7" s="63"/>
      <c r="AB7" s="64"/>
      <c r="AC7" s="64"/>
      <c r="AD7" s="64"/>
      <c r="AE7" s="63"/>
      <c r="AF7" s="63"/>
      <c r="AG7" s="64"/>
      <c r="AH7" s="64"/>
      <c r="AI7" s="64"/>
      <c r="AJ7" s="63"/>
      <c r="AL7" s="35" t="e">
        <f t="shared" ref="AL7" si="3">IF(AM7&gt;0,AM7&amp;" to "&amp;AN7&amp;" mbar","")</f>
        <v>#VALUE!</v>
      </c>
      <c r="AM7" s="35" t="e">
        <f>CHOOSE($AL$2,D7,I7,N7,S7)</f>
        <v>#VALUE!</v>
      </c>
      <c r="AN7" s="35" t="e">
        <f>CHOOSE($AL$2,E7,J7,O7,T7)</f>
        <v>#VALUE!</v>
      </c>
      <c r="AP7" s="68"/>
      <c r="AQ7" s="64"/>
      <c r="AR7" s="64"/>
      <c r="AS7" s="70"/>
      <c r="AT7" s="64"/>
      <c r="AU7" s="70"/>
    </row>
    <row r="8" spans="2:47" x14ac:dyDescent="0.25">
      <c r="W8" s="63"/>
      <c r="X8" s="64"/>
      <c r="Y8" s="64"/>
      <c r="Z8" s="63"/>
      <c r="AA8" s="63"/>
      <c r="AB8" s="63"/>
      <c r="AC8" s="64"/>
      <c r="AD8" s="64"/>
      <c r="AE8" s="63"/>
      <c r="AF8" s="63"/>
      <c r="AG8" s="63"/>
      <c r="AH8" s="64"/>
      <c r="AI8" s="64"/>
      <c r="AJ8" s="63"/>
      <c r="AL8" s="40">
        <f>s_spring</f>
        <v>1</v>
      </c>
      <c r="AM8" s="40" t="e">
        <f>INDEX(AM$3:AM$7,$AL$8)</f>
        <v>#VALUE!</v>
      </c>
      <c r="AN8" s="40" t="e">
        <f>INDEX(AN$3:AN$7,$AL$8)</f>
        <v>#VALUE!</v>
      </c>
    </row>
    <row r="9" spans="2:47" x14ac:dyDescent="0.25">
      <c r="W9" s="63"/>
      <c r="X9" s="64"/>
      <c r="Y9" s="64"/>
      <c r="Z9" s="63"/>
      <c r="AA9" s="63"/>
      <c r="AB9" s="63"/>
      <c r="AC9" s="64"/>
      <c r="AD9" s="64"/>
      <c r="AE9" s="63"/>
      <c r="AF9" s="63"/>
      <c r="AG9" s="63"/>
      <c r="AH9" s="64"/>
      <c r="AI9" s="64"/>
      <c r="AJ9" s="63"/>
      <c r="AM9" s="12" t="s">
        <v>48</v>
      </c>
      <c r="AN9" s="12" t="s">
        <v>49</v>
      </c>
    </row>
    <row r="10" spans="2:47" x14ac:dyDescent="0.25">
      <c r="C10" s="82" t="s">
        <v>69</v>
      </c>
      <c r="D10" s="82"/>
      <c r="E10" s="82"/>
      <c r="F10" s="82"/>
      <c r="H10" s="82" t="s">
        <v>107</v>
      </c>
      <c r="I10" s="82"/>
      <c r="J10" s="82"/>
      <c r="K10" s="82"/>
      <c r="M10" s="82" t="s">
        <v>108</v>
      </c>
      <c r="N10" s="82"/>
      <c r="O10" s="82"/>
      <c r="P10" s="82"/>
      <c r="R10" s="82" t="s">
        <v>109</v>
      </c>
      <c r="S10" s="82"/>
      <c r="T10" s="82"/>
      <c r="U10" s="82"/>
      <c r="W10" s="82" t="s">
        <v>110</v>
      </c>
      <c r="X10" s="82"/>
      <c r="Y10" s="82"/>
      <c r="Z10" s="82"/>
      <c r="AB10" s="82" t="s">
        <v>111</v>
      </c>
      <c r="AC10" s="82"/>
      <c r="AD10" s="82"/>
      <c r="AE10" s="82"/>
      <c r="AG10" s="82" t="s">
        <v>112</v>
      </c>
      <c r="AH10" s="82"/>
      <c r="AI10" s="82"/>
      <c r="AJ10" s="82"/>
      <c r="AL10" s="41" t="str">
        <f>ref_ssv_spring_tab</f>
        <v>5</v>
      </c>
    </row>
    <row r="11" spans="2:47" x14ac:dyDescent="0.25">
      <c r="B11" s="12" t="s">
        <v>3</v>
      </c>
      <c r="H11" s="2">
        <v>20565225</v>
      </c>
      <c r="I11" s="2">
        <v>25</v>
      </c>
      <c r="J11" s="2">
        <v>49</v>
      </c>
      <c r="M11" s="2">
        <v>20565225</v>
      </c>
      <c r="N11" s="2">
        <v>130</v>
      </c>
      <c r="O11" s="2">
        <v>240</v>
      </c>
      <c r="R11" s="2">
        <v>20565127</v>
      </c>
      <c r="S11" s="2">
        <v>1250</v>
      </c>
      <c r="T11" s="2">
        <v>3000</v>
      </c>
      <c r="W11" s="2">
        <v>20565233</v>
      </c>
      <c r="X11" s="2">
        <v>28</v>
      </c>
      <c r="Y11" s="2">
        <v>65</v>
      </c>
      <c r="AB11" s="2">
        <v>20565331</v>
      </c>
      <c r="AC11" s="2">
        <v>600</v>
      </c>
      <c r="AD11" s="2">
        <v>900</v>
      </c>
      <c r="AG11" s="2">
        <v>20565333</v>
      </c>
      <c r="AH11" s="2">
        <v>2300</v>
      </c>
      <c r="AI11" s="2">
        <v>4100</v>
      </c>
      <c r="AL11" s="35" t="str">
        <f>IF(AM11&gt;0,AM11&amp;" to "&amp;AN11&amp;" mbar","")</f>
        <v>28 to 65 mbar</v>
      </c>
      <c r="AM11" s="35">
        <f>CHOOSE($AL$10,D11,I11,N11,S11,X11,AC11,AH11)</f>
        <v>28</v>
      </c>
      <c r="AN11" s="35">
        <f>CHOOSE($AL$10,E11,J11,O11,T11,Y11,AD11,AI11)</f>
        <v>65</v>
      </c>
    </row>
    <row r="12" spans="2:47" x14ac:dyDescent="0.25">
      <c r="B12" s="12" t="s">
        <v>3</v>
      </c>
      <c r="H12" s="2">
        <v>20565125</v>
      </c>
      <c r="I12" s="2">
        <v>44</v>
      </c>
      <c r="J12" s="2">
        <v>120</v>
      </c>
      <c r="M12" s="2">
        <v>20565125</v>
      </c>
      <c r="N12" s="2">
        <v>200</v>
      </c>
      <c r="O12" s="2">
        <v>460</v>
      </c>
      <c r="R12" s="2">
        <v>20565128</v>
      </c>
      <c r="S12" s="2">
        <v>2300</v>
      </c>
      <c r="T12" s="2">
        <v>4200</v>
      </c>
      <c r="W12" s="2">
        <v>20565234</v>
      </c>
      <c r="X12" s="2">
        <v>45</v>
      </c>
      <c r="Y12" s="2">
        <v>100</v>
      </c>
      <c r="AB12" s="2">
        <v>20565332</v>
      </c>
      <c r="AC12" s="2">
        <v>900</v>
      </c>
      <c r="AD12" s="2">
        <v>1400</v>
      </c>
      <c r="AG12" s="2">
        <v>20565334</v>
      </c>
      <c r="AH12" s="2">
        <v>3100</v>
      </c>
      <c r="AI12" s="2">
        <v>5000</v>
      </c>
      <c r="AL12" s="35" t="str">
        <f t="shared" ref="AL12:AL19" si="4">IF(AM12&gt;0,AM12&amp;" to "&amp;AN12&amp;" mbar","")</f>
        <v>45 to 100 mbar</v>
      </c>
      <c r="AM12" s="35">
        <f t="shared" ref="AM12:AM19" si="5">CHOOSE($AL$10,D12,I12,N12,S12,X12,AC12,AH12)</f>
        <v>45</v>
      </c>
      <c r="AN12" s="35">
        <f t="shared" ref="AN12:AN19" si="6">CHOOSE($AL$10,E12,J12,O12,T12,Y12,AD12,AI12)</f>
        <v>100</v>
      </c>
    </row>
    <row r="13" spans="2:47" x14ac:dyDescent="0.25">
      <c r="B13" s="12" t="s">
        <v>3</v>
      </c>
      <c r="H13" s="2">
        <v>20565126</v>
      </c>
      <c r="I13" s="2">
        <v>95</v>
      </c>
      <c r="J13" s="2">
        <v>200</v>
      </c>
      <c r="M13" s="2">
        <v>20565126</v>
      </c>
      <c r="N13" s="2">
        <v>420</v>
      </c>
      <c r="O13" s="2">
        <v>900</v>
      </c>
      <c r="R13" s="2">
        <v>20565129</v>
      </c>
      <c r="S13" s="2">
        <v>3600</v>
      </c>
      <c r="T13" s="2">
        <v>5600</v>
      </c>
      <c r="W13" s="2">
        <v>20565330</v>
      </c>
      <c r="X13" s="2">
        <v>80</v>
      </c>
      <c r="Y13" s="2">
        <v>140</v>
      </c>
      <c r="AB13" s="2">
        <v>20565333</v>
      </c>
      <c r="AC13" s="2">
        <v>1400</v>
      </c>
      <c r="AD13" s="2">
        <v>2400</v>
      </c>
      <c r="AG13" s="2">
        <v>20565430</v>
      </c>
      <c r="AH13" s="2">
        <v>3800</v>
      </c>
      <c r="AI13" s="2">
        <v>6000</v>
      </c>
      <c r="AL13" s="35" t="str">
        <f t="shared" si="4"/>
        <v>80 to 140 mbar</v>
      </c>
      <c r="AM13" s="35">
        <f t="shared" si="5"/>
        <v>80</v>
      </c>
      <c r="AN13" s="35">
        <f t="shared" si="6"/>
        <v>140</v>
      </c>
    </row>
    <row r="14" spans="2:47" x14ac:dyDescent="0.25">
      <c r="B14" s="12" t="s">
        <v>3</v>
      </c>
      <c r="H14" s="2">
        <v>20565127</v>
      </c>
      <c r="I14" s="2">
        <v>200</v>
      </c>
      <c r="J14" s="2">
        <v>350</v>
      </c>
      <c r="M14" s="2">
        <v>20565127</v>
      </c>
      <c r="N14" s="2">
        <v>830</v>
      </c>
      <c r="O14" s="2">
        <v>1840</v>
      </c>
      <c r="W14" s="2">
        <v>20565331</v>
      </c>
      <c r="X14" s="2">
        <v>100</v>
      </c>
      <c r="Y14" s="2">
        <v>240</v>
      </c>
      <c r="AB14" s="2">
        <v>20565334</v>
      </c>
      <c r="AC14" s="2">
        <v>2000</v>
      </c>
      <c r="AD14" s="2">
        <v>3100</v>
      </c>
      <c r="AG14" s="2">
        <v>20565431</v>
      </c>
      <c r="AH14" s="2">
        <v>5700</v>
      </c>
      <c r="AI14" s="2">
        <v>7500</v>
      </c>
      <c r="AL14" s="35" t="str">
        <f t="shared" si="4"/>
        <v>100 to 240 mbar</v>
      </c>
      <c r="AM14" s="35">
        <f t="shared" si="5"/>
        <v>100</v>
      </c>
      <c r="AN14" s="35">
        <f t="shared" si="6"/>
        <v>240</v>
      </c>
    </row>
    <row r="15" spans="2:47" x14ac:dyDescent="0.25">
      <c r="B15" s="12" t="s">
        <v>3</v>
      </c>
      <c r="H15" s="2"/>
      <c r="M15" s="2">
        <v>20565128</v>
      </c>
      <c r="N15" s="2">
        <v>1320</v>
      </c>
      <c r="O15" s="2">
        <v>2250</v>
      </c>
      <c r="W15" s="2">
        <v>20565332</v>
      </c>
      <c r="X15" s="2">
        <v>190</v>
      </c>
      <c r="Y15" s="2">
        <v>350</v>
      </c>
      <c r="AB15" s="2">
        <v>20565430</v>
      </c>
      <c r="AC15" s="2">
        <v>2500</v>
      </c>
      <c r="AD15" s="2">
        <v>3900</v>
      </c>
      <c r="AG15" s="2">
        <v>20565432</v>
      </c>
      <c r="AH15" s="2">
        <v>7500</v>
      </c>
      <c r="AI15" s="2">
        <v>10000</v>
      </c>
      <c r="AL15" s="35" t="str">
        <f t="shared" si="4"/>
        <v>190 to 350 mbar</v>
      </c>
      <c r="AM15" s="35">
        <f t="shared" si="5"/>
        <v>190</v>
      </c>
      <c r="AN15" s="35">
        <f t="shared" si="6"/>
        <v>350</v>
      </c>
    </row>
    <row r="16" spans="2:47" x14ac:dyDescent="0.25">
      <c r="B16" s="12" t="s">
        <v>3</v>
      </c>
      <c r="H16" s="2"/>
      <c r="M16" s="2">
        <v>20565129</v>
      </c>
      <c r="N16" s="2">
        <v>2280</v>
      </c>
      <c r="O16" s="2">
        <v>3150</v>
      </c>
      <c r="W16" s="2">
        <v>20565333</v>
      </c>
      <c r="X16" s="2">
        <v>350</v>
      </c>
      <c r="Y16" s="2">
        <v>700</v>
      </c>
      <c r="AB16" s="2">
        <v>20565431</v>
      </c>
      <c r="AC16" s="2">
        <v>3900</v>
      </c>
      <c r="AD16" s="2">
        <v>4600</v>
      </c>
      <c r="AG16" s="2">
        <v>20565134</v>
      </c>
      <c r="AH16" s="2">
        <v>10000</v>
      </c>
      <c r="AI16" s="2">
        <v>15000</v>
      </c>
      <c r="AL16" s="35" t="str">
        <f t="shared" si="4"/>
        <v>350 to 700 mbar</v>
      </c>
      <c r="AM16" s="35">
        <f t="shared" si="5"/>
        <v>350</v>
      </c>
      <c r="AN16" s="35">
        <f t="shared" si="6"/>
        <v>700</v>
      </c>
    </row>
    <row r="17" spans="2:43" x14ac:dyDescent="0.25">
      <c r="B17" s="12" t="s">
        <v>3</v>
      </c>
      <c r="W17" s="2">
        <v>20565334</v>
      </c>
      <c r="X17" s="2">
        <v>450</v>
      </c>
      <c r="Y17" s="2">
        <v>800</v>
      </c>
      <c r="AB17" s="2">
        <v>20565432</v>
      </c>
      <c r="AC17" s="2">
        <v>4600</v>
      </c>
      <c r="AD17" s="2">
        <v>6300</v>
      </c>
      <c r="AL17" s="35" t="str">
        <f t="shared" si="4"/>
        <v>450 to 800 mbar</v>
      </c>
      <c r="AM17" s="35">
        <f t="shared" si="5"/>
        <v>450</v>
      </c>
      <c r="AN17" s="35">
        <f t="shared" si="6"/>
        <v>800</v>
      </c>
    </row>
    <row r="18" spans="2:43" x14ac:dyDescent="0.25">
      <c r="B18" s="12" t="s">
        <v>3</v>
      </c>
      <c r="W18" s="2">
        <v>20565430</v>
      </c>
      <c r="X18" s="2">
        <v>600</v>
      </c>
      <c r="Y18" s="2">
        <v>1000</v>
      </c>
      <c r="AB18" s="2">
        <v>20565134</v>
      </c>
      <c r="AC18" s="2">
        <v>6300</v>
      </c>
      <c r="AD18" s="2">
        <v>10800</v>
      </c>
      <c r="AL18" s="35" t="str">
        <f t="shared" si="4"/>
        <v>600 to 1000 mbar</v>
      </c>
      <c r="AM18" s="35">
        <f t="shared" si="5"/>
        <v>600</v>
      </c>
      <c r="AN18" s="35">
        <f t="shared" si="6"/>
        <v>1000</v>
      </c>
    </row>
    <row r="19" spans="2:43" x14ac:dyDescent="0.25">
      <c r="B19" s="12" t="s">
        <v>3</v>
      </c>
      <c r="W19" s="2">
        <v>20565431</v>
      </c>
      <c r="X19" s="2">
        <v>950</v>
      </c>
      <c r="Y19" s="2">
        <v>1300</v>
      </c>
      <c r="AL19" s="35" t="str">
        <f t="shared" si="4"/>
        <v>950 to 1300 mbar</v>
      </c>
      <c r="AM19" s="35">
        <f t="shared" si="5"/>
        <v>950</v>
      </c>
      <c r="AN19" s="35">
        <f t="shared" si="6"/>
        <v>1300</v>
      </c>
    </row>
    <row r="20" spans="2:43" x14ac:dyDescent="0.25">
      <c r="B20" s="12"/>
      <c r="W20" s="2"/>
      <c r="AL20" s="40">
        <f>s_spring_opso</f>
        <v>1</v>
      </c>
      <c r="AM20" s="40">
        <f>INDEX(AM$11:AM$19,$AL$20)</f>
        <v>28</v>
      </c>
      <c r="AN20" s="40">
        <f>INDEX(AN$11:AN$19,$AL$20)</f>
        <v>65</v>
      </c>
    </row>
    <row r="21" spans="2:43" x14ac:dyDescent="0.25">
      <c r="B21" s="30"/>
      <c r="W21" s="2"/>
      <c r="AL21"/>
      <c r="AM21" s="12" t="s">
        <v>51</v>
      </c>
      <c r="AN21" s="12" t="s">
        <v>52</v>
      </c>
      <c r="AP21" s="66" t="s">
        <v>72</v>
      </c>
      <c r="AQ21" s="48">
        <f>MAX(CHOOSE(s_ssv_type,0,0.15,0.2,0.15)*Pds,CHOOSE(s_ssv_type,0,20,40,20))</f>
        <v>20</v>
      </c>
    </row>
    <row r="22" spans="2:43" x14ac:dyDescent="0.25">
      <c r="B22" s="30"/>
      <c r="W22" s="2"/>
      <c r="AL22"/>
      <c r="AM22" s="12"/>
      <c r="AN22" s="12"/>
    </row>
    <row r="23" spans="2:43" x14ac:dyDescent="0.25">
      <c r="C23" s="82" t="s">
        <v>69</v>
      </c>
      <c r="D23" s="82"/>
      <c r="E23" s="82"/>
      <c r="F23" s="82"/>
      <c r="H23" s="82" t="s">
        <v>107</v>
      </c>
      <c r="I23" s="82"/>
      <c r="J23" s="82"/>
      <c r="K23" s="82"/>
      <c r="M23" s="82" t="s">
        <v>108</v>
      </c>
      <c r="N23" s="82"/>
      <c r="O23" s="82"/>
      <c r="P23" s="82"/>
      <c r="R23" s="82" t="s">
        <v>109</v>
      </c>
      <c r="S23" s="82"/>
      <c r="T23" s="82"/>
      <c r="U23" s="82"/>
      <c r="W23" s="82" t="s">
        <v>110</v>
      </c>
      <c r="X23" s="82"/>
      <c r="Y23" s="82"/>
      <c r="Z23" s="82"/>
      <c r="AB23" s="82" t="s">
        <v>111</v>
      </c>
      <c r="AC23" s="82"/>
      <c r="AD23" s="82"/>
      <c r="AE23" s="82"/>
      <c r="AG23" s="82" t="s">
        <v>112</v>
      </c>
      <c r="AH23" s="82"/>
      <c r="AI23" s="82"/>
      <c r="AJ23" s="82"/>
      <c r="AL23" s="41" t="str">
        <f>ref_ssv_spring_tab</f>
        <v>5</v>
      </c>
    </row>
    <row r="24" spans="2:43" x14ac:dyDescent="0.25">
      <c r="B24" s="12" t="s">
        <v>14</v>
      </c>
      <c r="H24" s="2">
        <v>20561022</v>
      </c>
      <c r="I24" s="2">
        <v>9</v>
      </c>
      <c r="J24" s="2">
        <v>19</v>
      </c>
      <c r="M24" s="2">
        <v>20561022</v>
      </c>
      <c r="N24" s="2">
        <v>60</v>
      </c>
      <c r="O24" s="2">
        <v>100</v>
      </c>
      <c r="R24" s="2">
        <v>20560815</v>
      </c>
      <c r="S24" s="2">
        <v>150</v>
      </c>
      <c r="T24" s="2">
        <v>400</v>
      </c>
      <c r="W24" s="2">
        <v>20561124</v>
      </c>
      <c r="X24" s="2">
        <v>5</v>
      </c>
      <c r="Y24" s="2">
        <v>18</v>
      </c>
      <c r="AB24" s="2">
        <v>20561222</v>
      </c>
      <c r="AC24" s="2">
        <v>230</v>
      </c>
      <c r="AD24" s="2">
        <v>370</v>
      </c>
      <c r="AG24" s="2">
        <v>20561222</v>
      </c>
      <c r="AH24" s="2">
        <v>320</v>
      </c>
      <c r="AI24" s="2">
        <v>630</v>
      </c>
      <c r="AL24" s="35" t="str">
        <f>IF(AM24&gt;0,AM24&amp;" to "&amp;AN24&amp;" mbar","")</f>
        <v>5 to 18 mbar</v>
      </c>
      <c r="AM24" s="35">
        <f>CHOOSE($AL$10,D24,I24,N24,S24,X24,AC24,AH24)</f>
        <v>5</v>
      </c>
      <c r="AN24" s="35">
        <f>CHOOSE($AL$10,E24,J24,O24,T24,Y24,AD24,AI24)</f>
        <v>18</v>
      </c>
    </row>
    <row r="25" spans="2:43" x14ac:dyDescent="0.25">
      <c r="B25" s="12" t="s">
        <v>14</v>
      </c>
      <c r="H25" s="2">
        <v>20560815</v>
      </c>
      <c r="I25" s="2">
        <v>14</v>
      </c>
      <c r="J25" s="2">
        <v>30</v>
      </c>
      <c r="M25" s="2">
        <v>20560815</v>
      </c>
      <c r="N25" s="2">
        <v>100</v>
      </c>
      <c r="O25" s="2">
        <v>250</v>
      </c>
      <c r="R25" s="2">
        <v>20561023</v>
      </c>
      <c r="S25" s="2">
        <v>300</v>
      </c>
      <c r="T25" s="2">
        <v>600</v>
      </c>
      <c r="W25" s="2">
        <v>20561221</v>
      </c>
      <c r="X25" s="2">
        <v>10</v>
      </c>
      <c r="Y25" s="2">
        <v>55</v>
      </c>
      <c r="AB25" s="2">
        <v>20561223</v>
      </c>
      <c r="AC25" s="2">
        <v>260</v>
      </c>
      <c r="AD25" s="2">
        <v>660</v>
      </c>
      <c r="AG25" s="2">
        <v>20561223</v>
      </c>
      <c r="AH25" s="2">
        <v>420</v>
      </c>
      <c r="AI25" s="2">
        <v>1100</v>
      </c>
      <c r="AL25" s="35" t="str">
        <f t="shared" ref="AL25:AL28" si="7">IF(AM25&gt;0,AM25&amp;" to "&amp;AN25&amp;" mbar","")</f>
        <v>10 to 55 mbar</v>
      </c>
      <c r="AM25" s="35">
        <f t="shared" ref="AM25:AM28" si="8">CHOOSE($AL$10,D25,I25,N25,S25,X25,AC25,AH25)</f>
        <v>10</v>
      </c>
      <c r="AN25" s="35">
        <f t="shared" ref="AN25:AN28" si="9">CHOOSE($AL$10,E25,J25,O25,T25,Y25,AD25,AI25)</f>
        <v>55</v>
      </c>
    </row>
    <row r="26" spans="2:43" x14ac:dyDescent="0.25">
      <c r="B26" s="12" t="s">
        <v>14</v>
      </c>
      <c r="H26" s="2">
        <v>20561023</v>
      </c>
      <c r="I26" s="2">
        <v>28</v>
      </c>
      <c r="J26" s="2">
        <v>60</v>
      </c>
      <c r="M26" s="2">
        <v>20561023</v>
      </c>
      <c r="N26" s="2">
        <v>100</v>
      </c>
      <c r="O26" s="2">
        <v>330</v>
      </c>
      <c r="R26" s="2">
        <v>20561024</v>
      </c>
      <c r="S26" s="2">
        <v>580</v>
      </c>
      <c r="T26" s="2">
        <v>1250</v>
      </c>
      <c r="W26" s="2">
        <v>20561222</v>
      </c>
      <c r="X26" s="2">
        <v>30</v>
      </c>
      <c r="Y26" s="2">
        <v>75</v>
      </c>
      <c r="AB26" s="2">
        <v>20561224</v>
      </c>
      <c r="AC26" s="2">
        <v>320</v>
      </c>
      <c r="AD26" s="2">
        <v>1000</v>
      </c>
      <c r="AG26" s="2">
        <v>20561224</v>
      </c>
      <c r="AH26" s="2">
        <v>600</v>
      </c>
      <c r="AI26" s="2">
        <v>2200</v>
      </c>
      <c r="AL26" s="35" t="str">
        <f t="shared" si="7"/>
        <v>30 to 75 mbar</v>
      </c>
      <c r="AM26" s="35">
        <f t="shared" si="8"/>
        <v>30</v>
      </c>
      <c r="AN26" s="35">
        <f t="shared" si="9"/>
        <v>75</v>
      </c>
    </row>
    <row r="27" spans="2:43" x14ac:dyDescent="0.25">
      <c r="B27" s="12" t="s">
        <v>14</v>
      </c>
      <c r="H27" s="2">
        <v>20561024</v>
      </c>
      <c r="I27" s="2">
        <v>60</v>
      </c>
      <c r="J27" s="2">
        <v>100</v>
      </c>
      <c r="M27" s="2">
        <v>20561024</v>
      </c>
      <c r="N27" s="2">
        <v>300</v>
      </c>
      <c r="O27" s="2">
        <v>700</v>
      </c>
      <c r="R27" s="2">
        <v>20561121</v>
      </c>
      <c r="S27" s="2">
        <v>1200</v>
      </c>
      <c r="T27" s="2">
        <v>1700</v>
      </c>
      <c r="W27" s="2">
        <v>20561223</v>
      </c>
      <c r="X27" s="2">
        <v>60</v>
      </c>
      <c r="Y27" s="2">
        <v>150</v>
      </c>
      <c r="AB27" s="2"/>
      <c r="AG27" s="2">
        <v>20561321</v>
      </c>
      <c r="AH27" s="2">
        <v>2200</v>
      </c>
      <c r="AI27" s="2">
        <v>3300</v>
      </c>
      <c r="AL27" s="35" t="str">
        <f t="shared" si="7"/>
        <v>60 to 150 mbar</v>
      </c>
      <c r="AM27" s="35">
        <f t="shared" si="8"/>
        <v>60</v>
      </c>
      <c r="AN27" s="35">
        <f t="shared" si="9"/>
        <v>150</v>
      </c>
    </row>
    <row r="28" spans="2:43" x14ac:dyDescent="0.25">
      <c r="B28" s="12" t="s">
        <v>14</v>
      </c>
      <c r="H28" s="2"/>
      <c r="M28" s="2">
        <v>20561121</v>
      </c>
      <c r="N28" s="2">
        <v>600</v>
      </c>
      <c r="O28" s="2">
        <v>1100</v>
      </c>
      <c r="R28" s="2">
        <v>20561122</v>
      </c>
      <c r="S28" s="2">
        <v>1080</v>
      </c>
      <c r="T28" s="2">
        <v>2500</v>
      </c>
      <c r="W28" s="2">
        <v>20561224</v>
      </c>
      <c r="X28" s="2">
        <v>100</v>
      </c>
      <c r="Y28" s="2">
        <v>250</v>
      </c>
      <c r="AB28" s="2"/>
      <c r="AG28" s="2"/>
      <c r="AL28" s="35" t="str">
        <f t="shared" si="7"/>
        <v>100 to 250 mbar</v>
      </c>
      <c r="AM28" s="35">
        <f t="shared" si="8"/>
        <v>100</v>
      </c>
      <c r="AN28" s="35">
        <f t="shared" si="9"/>
        <v>250</v>
      </c>
    </row>
    <row r="29" spans="2:43" x14ac:dyDescent="0.25">
      <c r="B29" s="12"/>
      <c r="H29" s="2"/>
      <c r="M29" s="2"/>
      <c r="R29" s="2"/>
      <c r="W29" s="2"/>
      <c r="AB29" s="2"/>
      <c r="AG29" s="2"/>
      <c r="AL29" s="40">
        <f>s_spring_upso</f>
        <v>1</v>
      </c>
      <c r="AM29" s="40">
        <f>INDEX(AM24:AM28,$AL$29)</f>
        <v>5</v>
      </c>
      <c r="AN29" s="40">
        <f>INDEX(AN24:AN28,$AL$29)</f>
        <v>18</v>
      </c>
      <c r="AP29" s="66" t="s">
        <v>73</v>
      </c>
      <c r="AQ29" s="48">
        <f>MAX(CHOOSE(s_ssv_type,0,0.15,0.2,0.15)*Pds,CHOOSE(s_ssv_type,0,10,20,10))</f>
        <v>10</v>
      </c>
    </row>
    <row r="30" spans="2:43" x14ac:dyDescent="0.25">
      <c r="B30" s="12"/>
      <c r="W30" s="2"/>
      <c r="AB30" s="2"/>
      <c r="AL30"/>
      <c r="AM30" s="12" t="s">
        <v>138</v>
      </c>
      <c r="AN30" s="12" t="s">
        <v>139</v>
      </c>
    </row>
    <row r="31" spans="2:43" x14ac:dyDescent="0.25">
      <c r="B31" s="12"/>
      <c r="W31" s="2"/>
      <c r="AB31" s="2"/>
    </row>
    <row r="32" spans="2:43" x14ac:dyDescent="0.25">
      <c r="B32" s="12"/>
      <c r="W32" s="2"/>
    </row>
    <row r="35" spans="38:40" x14ac:dyDescent="0.25">
      <c r="AL35"/>
      <c r="AM35" s="12"/>
      <c r="AN35" s="12"/>
    </row>
    <row r="36" spans="38:40" x14ac:dyDescent="0.25">
      <c r="AL36"/>
      <c r="AM36" s="12"/>
      <c r="AN36" s="12"/>
    </row>
  </sheetData>
  <mergeCells count="18">
    <mergeCell ref="M2:P2"/>
    <mergeCell ref="M10:P10"/>
    <mergeCell ref="R2:U2"/>
    <mergeCell ref="R10:U10"/>
    <mergeCell ref="C23:F23"/>
    <mergeCell ref="H23:K23"/>
    <mergeCell ref="C2:F2"/>
    <mergeCell ref="H2:K2"/>
    <mergeCell ref="C10:F10"/>
    <mergeCell ref="H10:K10"/>
    <mergeCell ref="AB10:AE10"/>
    <mergeCell ref="AG10:AJ10"/>
    <mergeCell ref="W23:Z23"/>
    <mergeCell ref="M23:P23"/>
    <mergeCell ref="R23:U23"/>
    <mergeCell ref="AB23:AE23"/>
    <mergeCell ref="AG23:AJ23"/>
    <mergeCell ref="W10:Z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6"/>
  <sheetViews>
    <sheetView workbookViewId="0">
      <selection activeCell="K20" sqref="K20"/>
    </sheetView>
  </sheetViews>
  <sheetFormatPr defaultRowHeight="15" x14ac:dyDescent="0.25"/>
  <cols>
    <col min="2" max="2" width="15" customWidth="1"/>
    <col min="3" max="3" width="140.7109375" customWidth="1"/>
  </cols>
  <sheetData>
    <row r="1" spans="2:3" x14ac:dyDescent="0.25">
      <c r="B1" t="s">
        <v>29</v>
      </c>
      <c r="C1" t="s">
        <v>54</v>
      </c>
    </row>
    <row r="2" spans="2:3" x14ac:dyDescent="0.25">
      <c r="B2" s="49">
        <v>43104</v>
      </c>
      <c r="C2" t="s">
        <v>55</v>
      </c>
    </row>
    <row r="3" spans="2:3" x14ac:dyDescent="0.25">
      <c r="B3" s="49"/>
    </row>
    <row r="4" spans="2:3" x14ac:dyDescent="0.25">
      <c r="B4" s="49"/>
    </row>
    <row r="5" spans="2:3" x14ac:dyDescent="0.25">
      <c r="B5" s="49"/>
    </row>
    <row r="6" spans="2:3" x14ac:dyDescent="0.25">
      <c r="B6" s="4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lation_x0020_Status xmlns="4EBC8050-FB07-4F32-9C64-305A187A122A" xsi:nil="true"/>
    <TranslationBaseDocument xmlns="4EBC8050-FB07-4F32-9C64-305A187A122A" xsi:nil="true"/>
    <TranslationBaseDocumentVersion xmlns="4EBC8050-FB07-4F32-9C64-305A187A122A" xsi:nil="true"/>
    <Language xmlns="4EBC8050-FB07-4F32-9C64-305A187A122A">English</Language>
    <Products_x0020_and_x0020_Solutions xmlns="4ebc8050-fb07-4f32-9c64-305a187a122a">3585</Products_x0020_and_x0020_Solutions>
    <DocumentNumber xmlns="26eede7c-aaae-4f14-a872-946e20673d24" xsi:nil="true"/>
    <ContentDescription xmlns="acbac3d8-146d-4fcf-b889-443e1acd58c7" xsi:nil="true"/>
    <EndDate xmlns="http://schemas.microsoft.com/sharepoint/v3/fields">2018-01-04T16:00:00+00:00</EndDate>
    <Owner xmlns="26eede7c-aaae-4f14-a872-946e20673d24">
      <UserInfo>
        <DisplayName>PortfolioAdminSvc</DisplayName>
        <AccountId>14</AccountId>
        <AccountType/>
      </UserInfo>
    </Owner>
    <SalesSupportToolSubType xmlns="26eede7c-aaae-4f14-a872-946e20673d24">Ordering Information</SalesSupportToolSubType>
    <StartDate xmlns="http://schemas.microsoft.com/sharepoint/v3">2018-01-04T08:00:00+00:00</StartDate>
    <ContentDistributionRules xmlns="acbac3d8-146d-4fcf-b889-443e1acd58c7">
      <Value>Itron Access Distributor</Value>
      <Value>Internal Product Catalog</Value>
    </ContentDistributionRules>
    <Related_x0020_Products_x0020__x0026__x0020_Solutions xmlns="26eede7c-aaae-4f14-a872-946e20673d2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ales Support Tools" ma:contentTypeID="0x0101006B58044DBA27E743AED784FFB96D8D37010900045E348EF9F2FE4798E06B62C2F27582" ma:contentTypeVersion="22" ma:contentTypeDescription="Sales Support Tool Content Type" ma:contentTypeScope="" ma:versionID="d4a2ea5da3433ecfceab815ff37c639b">
  <xsd:schema xmlns:xsd="http://www.w3.org/2001/XMLSchema" xmlns:xs="http://www.w3.org/2001/XMLSchema" xmlns:p="http://schemas.microsoft.com/office/2006/metadata/properties" xmlns:ns1="26eede7c-aaae-4f14-a872-946e20673d24" xmlns:ns2="4EBC8050-FB07-4F32-9C64-305A187A122A" xmlns:ns3="4ebc8050-fb07-4f32-9c64-305a187a122a" xmlns:ns4="http://schemas.microsoft.com/sharepoint/v3" xmlns:ns5="acbac3d8-146d-4fcf-b889-443e1acd58c7" xmlns:ns6="http://schemas.microsoft.com/sharepoint/v3/fields" targetNamespace="http://schemas.microsoft.com/office/2006/metadata/properties" ma:root="true" ma:fieldsID="300eecc257bfbcbb04cbac31eb76d224" ns1:_="" ns2:_="" ns3:_="" ns4:_="" ns5:_="" ns6:_="">
    <xsd:import namespace="26eede7c-aaae-4f14-a872-946e20673d24"/>
    <xsd:import namespace="4EBC8050-FB07-4F32-9C64-305A187A122A"/>
    <xsd:import namespace="4ebc8050-fb07-4f32-9c64-305a187a122a"/>
    <xsd:import namespace="http://schemas.microsoft.com/sharepoint/v3"/>
    <xsd:import namespace="acbac3d8-146d-4fcf-b889-443e1acd58c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SalesSupportToolSubType" minOccurs="0"/>
                <xsd:element ref="ns3:Products_x0020_and_x0020_Solutions" minOccurs="0"/>
                <xsd:element ref="ns5:ContentDistributionRules" minOccurs="0"/>
                <xsd:element ref="ns1:DocumentNumber" minOccurs="0"/>
                <xsd:element ref="ns5:ContentDescription" minOccurs="0"/>
                <xsd:element ref="ns4:StartDate" minOccurs="0"/>
                <xsd:element ref="ns6:EndDate" minOccurs="0"/>
                <xsd:element ref="ns1:Related_x0020_Products_x0020__x0026__x0020_Solutions" minOccurs="0"/>
                <xsd:element ref="ns1:Owner" minOccurs="0"/>
                <xsd:element ref="ns2:TranslationBaseDocumentVersion" minOccurs="0"/>
                <xsd:element ref="ns2:TranslationBaseDocument" minOccurs="0"/>
                <xsd:element ref="ns2:Translation_x0020_Statu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ede7c-aaae-4f14-a872-946e20673d24" elementFormDefault="qualified">
    <xsd:import namespace="http://schemas.microsoft.com/office/2006/documentManagement/types"/>
    <xsd:import namespace="http://schemas.microsoft.com/office/infopath/2007/PartnerControls"/>
    <xsd:element name="SalesSupportToolSubType" ma:index="0" nillable="true" ma:displayName="Sales Support Tool Sub Type" ma:format="Dropdown" ma:internalName="SalesSupportToolSubType" ma:readOnly="false">
      <xsd:simpleType>
        <xsd:restriction base="dms:Choice">
          <xsd:enumeration value="Forms"/>
          <xsd:enumeration value="Ordering Information"/>
          <xsd:enumeration value="Test Results"/>
          <xsd:enumeration value="Sales Contact Info"/>
          <xsd:enumeration value="Sales Tool"/>
          <xsd:enumeration value="Customer References"/>
          <xsd:enumeration value="Pricing"/>
          <xsd:enumeration value="Competitor Information"/>
        </xsd:restriction>
      </xsd:simpleType>
    </xsd:element>
    <xsd:element name="DocumentNumber" ma:index="6" nillable="true" ma:displayName="Document Number" ma:description="Uniquely identifies the specific document via unique coding. Coding for INA MarCom docs is determined by marketing coding rules, coding for INA TechCom is determined by their coding rules." ma:internalName="DocumentNumber" ma:readOnly="false">
      <xsd:simpleType>
        <xsd:restriction base="dms:Text">
          <xsd:maxLength value="48"/>
        </xsd:restriction>
      </xsd:simpleType>
    </xsd:element>
    <xsd:element name="Related_x0020_Products_x0020__x0026__x0020_Solutions" ma:index="11" nillable="true" ma:displayName="Related Products" ma:list="{af098eca-aa68-4aec-9de3-9270f5a29a57}" ma:internalName="Related_x0020_Products_x0020__x0026__x0020_Solutions" ma:readOnly="false" ma:showField="Title" ma:web="26eede7c-aaae-4f14-a872-946e20673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2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C8050-FB07-4F32-9C64-305A187A122A" elementFormDefault="qualified">
    <xsd:import namespace="http://schemas.microsoft.com/office/2006/documentManagement/types"/>
    <xsd:import namespace="http://schemas.microsoft.com/office/infopath/2007/PartnerControls"/>
    <xsd:element name="TranslationBaseDocumentVersion" ma:index="13" nillable="true" ma:displayName="Source Document Version" ma:description="If this document is a translation, indicate which version of the source document it represents. This information will be set automatically upon workflow completion if you use the Translation Management workflow to manage the translation." ma:internalName="TranslationBaseDocumentVersion" ma:readOnly="false">
      <xsd:simpleType>
        <xsd:restriction base="dms:Text"/>
      </xsd:simpleType>
    </xsd:element>
    <xsd:element name="TranslationBaseDocument" ma:index="15" nillable="true" ma:displayName="Source Document" ma:internalName="TranslationBaseDocument" ma:readOnly="false">
      <xsd:simpleType>
        <xsd:restriction base="dms:Text"/>
      </xsd:simpleType>
    </xsd:element>
    <xsd:element name="Translation_x0020_Status" ma:index="16" nillable="true" ma:displayName="Translation Status" ma:description="If this document is a translation, indicate its translation status. This information will be set automatically upon workflow completion if you use the Translation Management workflow to manage the translation." ma:format="Dropdown" ma:hidden="true" ma:internalName="Translation_x0020_Status" ma:readOnly="false">
      <xsd:simpleType>
        <xsd:restriction base="dms:Choice">
          <xsd:enumeration value="Not Started"/>
          <xsd:enumeration value="In Progress"/>
          <xsd:enumeration value="Completed"/>
          <xsd:enumeration value="Canceled"/>
          <xsd:enumeration value="Requires Updates"/>
        </xsd:restriction>
      </xsd:simpleType>
    </xsd:element>
    <xsd:element name="Language" ma:index="17" nillable="true" ma:displayName="Language" ma:default="English" ma:format="Dropdown" ma:indexed="true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c8050-fb07-4f32-9c64-305a187a122a" elementFormDefault="qualified">
    <xsd:import namespace="http://schemas.microsoft.com/office/2006/documentManagement/types"/>
    <xsd:import namespace="http://schemas.microsoft.com/office/infopath/2007/PartnerControls"/>
    <xsd:element name="Products_x0020_and_x0020_Solutions" ma:index="2" nillable="true" ma:displayName="Primary Product" ma:indexed="true" ma:list="{af098eca-aa68-4aec-9de3-9270f5a29a57}" ma:internalName="Products_x0020_and_x0020_Solutions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Publish Date" ma:default="[today]" ma:format="DateOnly" ma:indexed="true" ma:internalName="Star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ac3d8-146d-4fcf-b889-443e1acd58c7" elementFormDefault="qualified">
    <xsd:import namespace="http://schemas.microsoft.com/office/2006/documentManagement/types"/>
    <xsd:import namespace="http://schemas.microsoft.com/office/infopath/2007/PartnerControls"/>
    <xsd:element name="ContentDistributionRules" ma:index="4" nillable="true" ma:displayName="Content Distribution Rules" ma:description="Used to classify confidentiality of content and where it is being distributed." ma:internalName="ContentDistributionRule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tron Access"/>
                    <xsd:enumeration value="Itron Access Distributor"/>
                    <xsd:enumeration value="Itron.com"/>
                    <xsd:enumeration value="Internal Product Catalog"/>
                  </xsd:restriction>
                </xsd:simpleType>
              </xsd:element>
            </xsd:sequence>
          </xsd:extension>
        </xsd:complexContent>
      </xsd:complexType>
    </xsd:element>
    <xsd:element name="ContentDescription" ma:index="7" nillable="true" ma:displayName="Content Description" ma:description="A brief description for the piece of content. This is often used as a lead-in to a case study or white paper on the North America public website." ma:internalName="Conten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EndDate" ma:index="10" nillable="true" ma:displayName="End Date" ma:default="[today]" ma:format="DateTime" ma:internalName="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D7450-6788-4977-87DD-B2EECCAF1DFF}">
  <ds:schemaRefs>
    <ds:schemaRef ds:uri="http://schemas.microsoft.com/office/2006/metadata/properties"/>
    <ds:schemaRef ds:uri="http://purl.org/dc/elements/1.1/"/>
    <ds:schemaRef ds:uri="26eede7c-aaae-4f14-a872-946e20673d24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acbac3d8-146d-4fcf-b889-443e1acd58c7"/>
    <ds:schemaRef ds:uri="http://purl.org/dc/terms/"/>
    <ds:schemaRef ds:uri="4EBC8050-FB07-4F32-9C64-305A187A122A"/>
    <ds:schemaRef ds:uri="http://schemas.microsoft.com/sharepoint/v3"/>
    <ds:schemaRef ds:uri="http://schemas.microsoft.com/office/2006/documentManagement/types"/>
    <ds:schemaRef ds:uri="4ebc8050-fb07-4f32-9c64-305a187a122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C9077E-0DE2-430C-9373-F24A974351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353BD-C5E2-46B1-A035-D907492C3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ede7c-aaae-4f14-a872-946e20673d24"/>
    <ds:schemaRef ds:uri="4EBC8050-FB07-4F32-9C64-305A187A122A"/>
    <ds:schemaRef ds:uri="4ebc8050-fb07-4f32-9c64-305a187a122a"/>
    <ds:schemaRef ds:uri="http://schemas.microsoft.com/sharepoint/v3"/>
    <ds:schemaRef ds:uri="acbac3d8-146d-4fcf-b889-443e1acd58c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35</vt:i4>
      </vt:variant>
    </vt:vector>
  </HeadingPairs>
  <TitlesOfParts>
    <vt:vector size="40" baseType="lpstr">
      <vt:lpstr>TDS</vt:lpstr>
      <vt:lpstr>ICLS</vt:lpstr>
      <vt:lpstr>T Act</vt:lpstr>
      <vt:lpstr>T Springs</vt:lpstr>
      <vt:lpstr>Changes</vt:lpstr>
      <vt:lpstr>cust_spec</vt:lpstr>
      <vt:lpstr>Min_diff_o</vt:lpstr>
      <vt:lpstr>Min_diff_u</vt:lpstr>
      <vt:lpstr>Pds</vt:lpstr>
      <vt:lpstr>Pdso</vt:lpstr>
      <vt:lpstr>Pdsu</vt:lpstr>
      <vt:lpstr>PmaxOPSO</vt:lpstr>
      <vt:lpstr>Pmaxreg</vt:lpstr>
      <vt:lpstr>PmaxUPSO</vt:lpstr>
      <vt:lpstr>PminOPSO</vt:lpstr>
      <vt:lpstr>Pminreg</vt:lpstr>
      <vt:lpstr>PminUPSO</vt:lpstr>
      <vt:lpstr>ref_spring_tab</vt:lpstr>
      <vt:lpstr>ref_ssv_spring_tab</vt:lpstr>
      <vt:lpstr>s_act</vt:lpstr>
      <vt:lpstr>s_bgz_ral</vt:lpstr>
      <vt:lpstr>s_dvgw</vt:lpstr>
      <vt:lpstr>s_flange_rating</vt:lpstr>
      <vt:lpstr>s_it_ps1</vt:lpstr>
      <vt:lpstr>s_label</vt:lpstr>
      <vt:lpstr>s_monitor</vt:lpstr>
      <vt:lpstr>s_pos_ssv</vt:lpstr>
      <vt:lpstr>s_safety_d</vt:lpstr>
      <vt:lpstr>s_sensing</vt:lpstr>
      <vt:lpstr>s_sil</vt:lpstr>
      <vt:lpstr>s_size</vt:lpstr>
      <vt:lpstr>s_spring</vt:lpstr>
      <vt:lpstr>s_spring_opso</vt:lpstr>
      <vt:lpstr>s_spring_upso</vt:lpstr>
      <vt:lpstr>s_ssv_funct</vt:lpstr>
      <vt:lpstr>s_ssv_type</vt:lpstr>
      <vt:lpstr>s_vent</vt:lpstr>
      <vt:lpstr>s_zeug_a</vt:lpstr>
      <vt:lpstr>s_zeug_w</vt:lpstr>
      <vt:lpstr>TDS!Область_печати</vt:lpstr>
    </vt:vector>
  </TitlesOfParts>
  <Company>Itron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 4000 Build Specification Form</dc:title>
  <dc:creator>ogez</dc:creator>
  <cp:keywords/>
  <dc:description>Version 2018, Jan 4</dc:description>
  <cp:lastModifiedBy>Людмила</cp:lastModifiedBy>
  <cp:lastPrinted>2018-01-04T13:36:45Z</cp:lastPrinted>
  <dcterms:created xsi:type="dcterms:W3CDTF">2017-10-23T09:27:52Z</dcterms:created>
  <dcterms:modified xsi:type="dcterms:W3CDTF">2020-04-26T18:59:45Z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0x0101006B58044DBA27E743AED784FFB96D8D37010900045E348EF9F2FE4798E06B62C2F27582</vt:lpwstr>
  </property>
  <property fmtid="{D5CDD505-2E9C-101B-9397-08002B2CF9AE}" pid="5" name="ItronSubContentType">
    <vt:lpwstr>Ordering Information</vt:lpwstr>
  </property>
  <property fmtid="{D5CDD505-2E9C-101B-9397-08002B2CF9AE}" pid="6" name="Itron Content Type">
    <vt:lpwstr>Sales Support Tools</vt:lpwstr>
  </property>
  <property fmtid="{D5CDD505-2E9C-101B-9397-08002B2CF9AE}" pid="7" name="Primary Product or Solution">
    <vt:lpwstr>RB 4000</vt:lpwstr>
  </property>
  <property fmtid="{D5CDD505-2E9C-101B-9397-08002B2CF9AE}" pid="8" name="TrainingSubType">
    <vt:lpwstr/>
  </property>
  <property fmtid="{D5CDD505-2E9C-101B-9397-08002B2CF9AE}" pid="9" name="PublishingRollupImage">
    <vt:lpwstr/>
  </property>
  <property fmtid="{D5CDD505-2E9C-101B-9397-08002B2CF9AE}" pid="10" name="UserGuidesSubType">
    <vt:lpwstr/>
  </property>
  <property fmtid="{D5CDD505-2E9C-101B-9397-08002B2CF9AE}" pid="11" name="SummaryLinks">
    <vt:lpwstr/>
  </property>
  <property fmtid="{D5CDD505-2E9C-101B-9397-08002B2CF9AE}" pid="12" name="PressReleaseAboutThirdPartyName">
    <vt:lpwstr/>
  </property>
  <property fmtid="{D5CDD505-2E9C-101B-9397-08002B2CF9AE}" pid="13" name="PresentationSubType">
    <vt:lpwstr/>
  </property>
  <property fmtid="{D5CDD505-2E9C-101B-9397-08002B2CF9AE}" pid="14" name="Itron Version Number">
    <vt:lpwstr/>
  </property>
  <property fmtid="{D5CDD505-2E9C-101B-9397-08002B2CF9AE}" pid="15" name="PartNumbers">
    <vt:lpwstr/>
  </property>
  <property fmtid="{D5CDD505-2E9C-101B-9397-08002B2CF9AE}" pid="16" name="Audience">
    <vt:lpwstr/>
  </property>
  <property fmtid="{D5CDD505-2E9C-101B-9397-08002B2CF9AE}" pid="17" name="PublishingImageCaption">
    <vt:lpwstr/>
  </property>
  <property fmtid="{D5CDD505-2E9C-101B-9397-08002B2CF9AE}" pid="18" name="PressReleaseAboutThirdPartyContent">
    <vt:lpwstr/>
  </property>
  <property fmtid="{D5CDD505-2E9C-101B-9397-08002B2CF9AE}" pid="19" name="ProductPageSubTitle">
    <vt:lpwstr/>
  </property>
  <property fmtid="{D5CDD505-2E9C-101B-9397-08002B2CF9AE}" pid="20" name="ApprovalSubType">
    <vt:lpwstr/>
  </property>
  <property fmtid="{D5CDD505-2E9C-101B-9397-08002B2CF9AE}" pid="21" name="PublishingContactPicture">
    <vt:lpwstr/>
  </property>
  <property fmtid="{D5CDD505-2E9C-101B-9397-08002B2CF9AE}" pid="22" name="ReleaseNotesSubType">
    <vt:lpwstr/>
  </property>
  <property fmtid="{D5CDD505-2E9C-101B-9397-08002B2CF9AE}" pid="23" name="MultimediaSubType">
    <vt:lpwstr/>
  </property>
  <property fmtid="{D5CDD505-2E9C-101B-9397-08002B2CF9AE}" pid="24" name="MarketingSubType">
    <vt:lpwstr/>
  </property>
  <property fmtid="{D5CDD505-2E9C-101B-9397-08002B2CF9AE}" pid="25" name="PublishingContactName">
    <vt:lpwstr/>
  </property>
  <property fmtid="{D5CDD505-2E9C-101B-9397-08002B2CF9AE}" pid="26" name="PressReleaseThirdPartyContacts">
    <vt:lpwstr/>
  </property>
  <property fmtid="{D5CDD505-2E9C-101B-9397-08002B2CF9AE}" pid="27" name="PublishingPageLayout">
    <vt:lpwstr/>
  </property>
  <property fmtid="{D5CDD505-2E9C-101B-9397-08002B2CF9AE}" pid="28" name="PublishingPageContent">
    <vt:lpwstr/>
  </property>
  <property fmtid="{D5CDD505-2E9C-101B-9397-08002B2CF9AE}" pid="29" name="ArticleByLine">
    <vt:lpwstr/>
  </property>
  <property fmtid="{D5CDD505-2E9C-101B-9397-08002B2CF9AE}" pid="30" name="PublishingContactEmail">
    <vt:lpwstr/>
  </property>
  <property fmtid="{D5CDD505-2E9C-101B-9397-08002B2CF9AE}" pid="31" name="PublishingPageImage">
    <vt:lpwstr/>
  </property>
  <property fmtid="{D5CDD505-2E9C-101B-9397-08002B2CF9AE}" pid="32" name="LongDescription">
    <vt:lpwstr/>
  </property>
  <property fmtid="{D5CDD505-2E9C-101B-9397-08002B2CF9AE}" pid="33" name="ImageVideo">
    <vt:lpwstr/>
  </property>
  <property fmtid="{D5CDD505-2E9C-101B-9397-08002B2CF9AE}" pid="34" name="SeoBrowserTitle">
    <vt:lpwstr/>
  </property>
  <property fmtid="{D5CDD505-2E9C-101B-9397-08002B2CF9AE}" pid="35" name="SeoKeywords">
    <vt:lpwstr/>
  </property>
  <property fmtid="{D5CDD505-2E9C-101B-9397-08002B2CF9AE}" pid="36" name="FlowtriggerProductValue">
    <vt:lpwstr/>
  </property>
  <property fmtid="{D5CDD505-2E9C-101B-9397-08002B2CF9AE}" pid="37" name="O365 Video Link">
    <vt:lpwstr/>
  </property>
  <property fmtid="{D5CDD505-2E9C-101B-9397-08002B2CF9AE}" pid="38" name="SeoMetaDescription">
    <vt:lpwstr/>
  </property>
  <property fmtid="{D5CDD505-2E9C-101B-9397-08002B2CF9AE}" pid="39" name="Length">
    <vt:lpwstr/>
  </property>
  <property fmtid="{D5CDD505-2E9C-101B-9397-08002B2CF9AE}" pid="40" name="Image-Video">
    <vt:lpwstr/>
  </property>
  <property fmtid="{D5CDD505-2E9C-101B-9397-08002B2CF9AE}" pid="41" name="EndDate">
    <vt:filetime>2018-01-04T16:00:00Z</vt:filetime>
  </property>
  <property fmtid="{D5CDD505-2E9C-101B-9397-08002B2CF9AE}" pid="42" name="YouTube Title">
    <vt:lpwstr/>
  </property>
  <property fmtid="{D5CDD505-2E9C-101B-9397-08002B2CF9AE}" pid="43" name="SalesSupportToolSubType">
    <vt:lpwstr>Ordering Information</vt:lpwstr>
  </property>
  <property fmtid="{D5CDD505-2E9C-101B-9397-08002B2CF9AE}" pid="44" name="Owner">
    <vt:lpwstr>14;#PortfolioAdminSvc</vt:lpwstr>
  </property>
  <property fmtid="{D5CDD505-2E9C-101B-9397-08002B2CF9AE}" pid="45" name="Video Title">
    <vt:lpwstr/>
  </property>
  <property fmtid="{D5CDD505-2E9C-101B-9397-08002B2CF9AE}" pid="46" name="StartDate">
    <vt:filetime>2018-01-04T08:00:00Z</vt:filetime>
  </property>
  <property fmtid="{D5CDD505-2E9C-101B-9397-08002B2CF9AE}" pid="47" name="ContentDistributionRules">
    <vt:lpwstr>;#Distributor Portal;#Internal Knowledge Center;#</vt:lpwstr>
  </property>
  <property fmtid="{D5CDD505-2E9C-101B-9397-08002B2CF9AE}" pid="48" name="URL">
    <vt:lpwstr/>
  </property>
  <property fmtid="{D5CDD505-2E9C-101B-9397-08002B2CF9AE}" pid="49" name="FlowtriggerValue">
    <vt:lpwstr>Sales Support Tools;Ordering Information</vt:lpwstr>
  </property>
</Properties>
</file>